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 S\Desktop\Onpoint Conference\ODBC for WIP in MS Excel\"/>
    </mc:Choice>
  </mc:AlternateContent>
  <xr:revisionPtr revIDLastSave="0" documentId="13_ncr:1_{0CBCEDA4-CF50-43FC-8A64-8048A608BA61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etup Instructions" sheetId="3" r:id="rId1"/>
    <sheet name="WIP Schedule" sheetId="2" r:id="rId2"/>
    <sheet name="TL Active Jobs GL Recap" sheetId="11" r:id="rId3"/>
    <sheet name="WIP Journal Entry" sheetId="10" r:id="rId4"/>
    <sheet name="TL Active Jobs ODBC" sheetId="7" r:id="rId5"/>
    <sheet name="TL Job Control ODBC" sheetId="1" r:id="rId6"/>
    <sheet name="TL GL ODBC" sheetId="9" r:id="rId7"/>
  </sheets>
  <definedNames>
    <definedName name="CurrentPeriod">'WIP Journal Entry'!$E$8</definedName>
    <definedName name="_xlnm.Print_Area" localSheetId="1">'WIP Schedule'!$E$8:$AO$22</definedName>
    <definedName name="_xlnm.Print_Titles" localSheetId="1">'WIP Schedule'!$A:$D,'WIP Schedule'!$1:$7</definedName>
    <definedName name="Query_from_Sage_Construction_Sample_Data" localSheetId="3" hidden="1">'WIP Journal Entry'!#REF!</definedName>
    <definedName name="Query_from_Sage_Construction_Sample_Data" localSheetId="1" hidden="1">'WIP Schedule'!#REF!</definedName>
    <definedName name="Query_from_TL_Construction_Sample_Data" localSheetId="4" hidden="1">'TL Active Jobs ODBC'!$C$6:$L$20</definedName>
    <definedName name="Query_from_TL_Construction_Sample_Data" localSheetId="6" hidden="1">'TL GL ODBC'!$C$6:$G$408</definedName>
    <definedName name="Query_from_TL_Construction_Sample_Data" localSheetId="5" hidden="1">'TL Job Control ODBC'!$D$6:$G$7</definedName>
    <definedName name="Query_from_TL_Construction_Sample_Data_1" localSheetId="2" hidden="1">'TL Active Jobs GL Recap'!#REF!</definedName>
    <definedName name="Query_from_TL_Construction_Sample_Data_1" localSheetId="4" hidden="1">'TL Active Jobs ODBC'!#REF!</definedName>
    <definedName name="Query_from_TL_Construction_Sample_Data_1" localSheetId="6" hidden="1">'TL GL ODBC'!$I$6:$N$10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7" l="1"/>
  <c r="G21" i="7"/>
  <c r="H21" i="7"/>
  <c r="I21" i="7"/>
  <c r="J21" i="7"/>
  <c r="K21" i="7"/>
  <c r="L21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AI19" i="2" l="1"/>
  <c r="AJ19" i="2" s="1"/>
  <c r="Y19" i="2"/>
  <c r="Z19" i="2" s="1"/>
  <c r="N19" i="2"/>
  <c r="K19" i="2"/>
  <c r="L19" i="2" s="1"/>
  <c r="F19" i="2"/>
  <c r="H19" i="2" s="1"/>
  <c r="I19" i="2" s="1"/>
  <c r="E19" i="2"/>
  <c r="D19" i="2"/>
  <c r="AI17" i="2"/>
  <c r="AJ17" i="2" s="1"/>
  <c r="Y17" i="2"/>
  <c r="Z17" i="2" s="1"/>
  <c r="N17" i="2"/>
  <c r="K17" i="2"/>
  <c r="L17" i="2" s="1"/>
  <c r="F17" i="2"/>
  <c r="H17" i="2" s="1"/>
  <c r="I17" i="2" s="1"/>
  <c r="E17" i="2"/>
  <c r="D17" i="2"/>
  <c r="S19" i="2" l="1"/>
  <c r="AC19" i="2" s="1"/>
  <c r="M19" i="2"/>
  <c r="R19" i="2" s="1"/>
  <c r="AL19" i="2" s="1"/>
  <c r="M17" i="2"/>
  <c r="R17" i="2" s="1"/>
  <c r="AL17" i="2" s="1"/>
  <c r="S17" i="2"/>
  <c r="AC17" i="2" s="1"/>
  <c r="O19" i="2" l="1"/>
  <c r="P19" i="2"/>
  <c r="T19" i="2"/>
  <c r="U19" i="2" s="1"/>
  <c r="AM19" i="2"/>
  <c r="AN19" i="2" s="1"/>
  <c r="AO19" i="2" s="1"/>
  <c r="AB19" i="2"/>
  <c r="AD19" i="2" s="1"/>
  <c r="AE19" i="2" s="1"/>
  <c r="AB17" i="2"/>
  <c r="AD17" i="2" s="1"/>
  <c r="AE17" i="2" s="1"/>
  <c r="O17" i="2"/>
  <c r="AM17" i="2"/>
  <c r="AN17" i="2" s="1"/>
  <c r="AO17" i="2" s="1"/>
  <c r="T17" i="2"/>
  <c r="U17" i="2" s="1"/>
  <c r="P17" i="2"/>
  <c r="AI12" i="2" l="1"/>
  <c r="AJ12" i="2" s="1"/>
  <c r="Y12" i="2"/>
  <c r="Z12" i="2" s="1"/>
  <c r="N12" i="2"/>
  <c r="K12" i="2"/>
  <c r="L12" i="2" s="1"/>
  <c r="F12" i="2"/>
  <c r="E12" i="2"/>
  <c r="D12" i="2"/>
  <c r="E16" i="11"/>
  <c r="D16" i="11"/>
  <c r="D11" i="11"/>
  <c r="E11" i="11"/>
  <c r="D15" i="11"/>
  <c r="E15" i="11"/>
  <c r="D25" i="11"/>
  <c r="E25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M12" i="2" l="1"/>
  <c r="R12" i="2" s="1"/>
  <c r="H12" i="2"/>
  <c r="I12" i="2" s="1"/>
  <c r="S12" i="2"/>
  <c r="E37" i="10"/>
  <c r="D37" i="10"/>
  <c r="E36" i="10"/>
  <c r="D36" i="10"/>
  <c r="E35" i="10"/>
  <c r="D35" i="10"/>
  <c r="E34" i="10"/>
  <c r="D34" i="10"/>
  <c r="E33" i="10"/>
  <c r="D33" i="10"/>
  <c r="E32" i="10"/>
  <c r="D32" i="10"/>
  <c r="E31" i="10"/>
  <c r="D31" i="10"/>
  <c r="E30" i="10"/>
  <c r="D30" i="10"/>
  <c r="E29" i="10"/>
  <c r="D29" i="10"/>
  <c r="E28" i="10"/>
  <c r="D28" i="10"/>
  <c r="E24" i="10"/>
  <c r="D24" i="10"/>
  <c r="E23" i="10"/>
  <c r="D23" i="10"/>
  <c r="E20" i="10"/>
  <c r="D20" i="10"/>
  <c r="E19" i="10"/>
  <c r="D19" i="10"/>
  <c r="E18" i="10"/>
  <c r="D18" i="10"/>
  <c r="E15" i="10"/>
  <c r="D15" i="10"/>
  <c r="E14" i="10"/>
  <c r="D14" i="10"/>
  <c r="D13" i="10"/>
  <c r="E13" i="10"/>
  <c r="N21" i="2"/>
  <c r="N20" i="2"/>
  <c r="N18" i="2"/>
  <c r="N16" i="2"/>
  <c r="N15" i="2"/>
  <c r="N14" i="2"/>
  <c r="N13" i="2"/>
  <c r="N11" i="2"/>
  <c r="N10" i="2"/>
  <c r="N9" i="2"/>
  <c r="K21" i="2"/>
  <c r="K20" i="2"/>
  <c r="K18" i="2"/>
  <c r="K16" i="2"/>
  <c r="K15" i="2"/>
  <c r="K14" i="2"/>
  <c r="K13" i="2"/>
  <c r="K11" i="2"/>
  <c r="K10" i="2"/>
  <c r="K9" i="2"/>
  <c r="F21" i="2"/>
  <c r="E21" i="2"/>
  <c r="D21" i="2"/>
  <c r="F20" i="2"/>
  <c r="E20" i="2"/>
  <c r="D20" i="2"/>
  <c r="F18" i="2"/>
  <c r="E18" i="2"/>
  <c r="D18" i="2"/>
  <c r="F16" i="2"/>
  <c r="E16" i="2"/>
  <c r="D16" i="2"/>
  <c r="F15" i="2"/>
  <c r="E15" i="2"/>
  <c r="D15" i="2"/>
  <c r="F14" i="2"/>
  <c r="E14" i="2"/>
  <c r="D14" i="2"/>
  <c r="F13" i="2"/>
  <c r="E13" i="2"/>
  <c r="D13" i="2"/>
  <c r="F11" i="2"/>
  <c r="E11" i="2"/>
  <c r="D11" i="2"/>
  <c r="F10" i="2"/>
  <c r="E10" i="2"/>
  <c r="D10" i="2"/>
  <c r="F9" i="2"/>
  <c r="E9" i="2"/>
  <c r="D9" i="2"/>
  <c r="N8" i="2"/>
  <c r="K8" i="2"/>
  <c r="F8" i="2"/>
  <c r="E8" i="2"/>
  <c r="D8" i="2"/>
  <c r="O12" i="2" l="1"/>
  <c r="AM12" i="2"/>
  <c r="AC12" i="2"/>
  <c r="P12" i="2"/>
  <c r="AL12" i="2"/>
  <c r="T12" i="2"/>
  <c r="U12" i="2" s="1"/>
  <c r="AB12" i="2"/>
  <c r="E37" i="11"/>
  <c r="E40" i="11" s="1"/>
  <c r="E42" i="11" s="1"/>
  <c r="D37" i="11"/>
  <c r="D40" i="11" s="1"/>
  <c r="D42" i="11" s="1"/>
  <c r="D17" i="11"/>
  <c r="D20" i="11" s="1"/>
  <c r="D22" i="11" s="1"/>
  <c r="E17" i="11"/>
  <c r="E20" i="11" s="1"/>
  <c r="E22" i="11" s="1"/>
  <c r="AN12" i="2" l="1"/>
  <c r="AO12" i="2" s="1"/>
  <c r="AD12" i="2"/>
  <c r="AE12" i="2" s="1"/>
  <c r="E8" i="10"/>
  <c r="R5" i="2" s="1"/>
  <c r="E7" i="10"/>
  <c r="E5" i="11" s="1"/>
  <c r="B4" i="2" l="1"/>
  <c r="E6" i="11"/>
  <c r="B3" i="10"/>
  <c r="B2" i="10"/>
  <c r="B3" i="9"/>
  <c r="B2" i="9"/>
  <c r="B3" i="1"/>
  <c r="B2" i="1"/>
  <c r="AI21" i="2"/>
  <c r="AJ21" i="2" s="1"/>
  <c r="AI14" i="2"/>
  <c r="AJ14" i="2" s="1"/>
  <c r="AG22" i="2"/>
  <c r="AI20" i="2"/>
  <c r="AJ20" i="2" s="1"/>
  <c r="AI16" i="2"/>
  <c r="AJ16" i="2" s="1"/>
  <c r="AI15" i="2"/>
  <c r="AJ15" i="2" s="1"/>
  <c r="AI13" i="2"/>
  <c r="AJ13" i="2" s="1"/>
  <c r="AI11" i="2"/>
  <c r="AJ11" i="2" s="1"/>
  <c r="AI10" i="2"/>
  <c r="AJ10" i="2" s="1"/>
  <c r="AI9" i="2"/>
  <c r="AJ9" i="2" s="1"/>
  <c r="AI8" i="2"/>
  <c r="AJ8" i="2" s="1"/>
  <c r="Y18" i="2"/>
  <c r="Z18" i="2" s="1"/>
  <c r="Y13" i="2"/>
  <c r="Z13" i="2" s="1"/>
  <c r="Y8" i="2"/>
  <c r="Z8" i="2" s="1"/>
  <c r="Y15" i="2"/>
  <c r="Z15" i="2" s="1"/>
  <c r="X22" i="2"/>
  <c r="Y21" i="2"/>
  <c r="Z21" i="2" s="1"/>
  <c r="Y20" i="2"/>
  <c r="Z20" i="2" s="1"/>
  <c r="Y16" i="2"/>
  <c r="Z16" i="2" s="1"/>
  <c r="Y11" i="2"/>
  <c r="Z11" i="2" s="1"/>
  <c r="Y9" i="2"/>
  <c r="Z9" i="2" s="1"/>
  <c r="G22" i="2"/>
  <c r="L21" i="2"/>
  <c r="L20" i="2"/>
  <c r="L18" i="2"/>
  <c r="L16" i="2"/>
  <c r="L15" i="2"/>
  <c r="H15" i="2"/>
  <c r="I15" i="2" s="1"/>
  <c r="L14" i="2"/>
  <c r="H14" i="2"/>
  <c r="I14" i="2" s="1"/>
  <c r="L13" i="2"/>
  <c r="L11" i="2"/>
  <c r="L10" i="2"/>
  <c r="L9" i="2"/>
  <c r="B3" i="2"/>
  <c r="B2" i="2"/>
  <c r="E26" i="10" l="1"/>
  <c r="E16" i="10"/>
  <c r="E39" i="10"/>
  <c r="E21" i="10"/>
  <c r="K22" i="2"/>
  <c r="F22" i="2"/>
  <c r="L8" i="2"/>
  <c r="M8" i="2" s="1"/>
  <c r="P8" i="2" s="1"/>
  <c r="S9" i="2"/>
  <c r="AM9" i="2" s="1"/>
  <c r="S8" i="2"/>
  <c r="S13" i="2"/>
  <c r="S16" i="2"/>
  <c r="N22" i="2"/>
  <c r="S21" i="2"/>
  <c r="H8" i="2"/>
  <c r="S10" i="2"/>
  <c r="S14" i="2"/>
  <c r="S18" i="2"/>
  <c r="S11" i="2"/>
  <c r="S15" i="2"/>
  <c r="S20" i="2"/>
  <c r="AI18" i="2"/>
  <c r="AJ18" i="2" s="1"/>
  <c r="AH22" i="2"/>
  <c r="Y14" i="2"/>
  <c r="Z14" i="2" s="1"/>
  <c r="Y10" i="2"/>
  <c r="Z10" i="2" s="1"/>
  <c r="W22" i="2"/>
  <c r="M16" i="2"/>
  <c r="R16" i="2" s="1"/>
  <c r="M20" i="2"/>
  <c r="O20" i="2" s="1"/>
  <c r="M21" i="2"/>
  <c r="O21" i="2" s="1"/>
  <c r="H21" i="2"/>
  <c r="I21" i="2" s="1"/>
  <c r="H20" i="2"/>
  <c r="I20" i="2" s="1"/>
  <c r="M18" i="2"/>
  <c r="M15" i="2"/>
  <c r="M14" i="2"/>
  <c r="R14" i="2" s="1"/>
  <c r="M9" i="2"/>
  <c r="R9" i="2" s="1"/>
  <c r="H18" i="2"/>
  <c r="I18" i="2" s="1"/>
  <c r="H16" i="2"/>
  <c r="I16" i="2" s="1"/>
  <c r="M13" i="2"/>
  <c r="R13" i="2" s="1"/>
  <c r="H13" i="2"/>
  <c r="I13" i="2" s="1"/>
  <c r="M11" i="2"/>
  <c r="O11" i="2" s="1"/>
  <c r="H11" i="2"/>
  <c r="I11" i="2" s="1"/>
  <c r="M10" i="2"/>
  <c r="R10" i="2" s="1"/>
  <c r="H10" i="2"/>
  <c r="I10" i="2" s="1"/>
  <c r="H9" i="2"/>
  <c r="I9" i="2" s="1"/>
  <c r="AI22" i="2" l="1"/>
  <c r="AJ22" i="2" s="1"/>
  <c r="AC9" i="2"/>
  <c r="O9" i="2"/>
  <c r="O13" i="2"/>
  <c r="P16" i="2"/>
  <c r="AM21" i="2"/>
  <c r="AC21" i="2"/>
  <c r="T10" i="2"/>
  <c r="U10" i="2" s="1"/>
  <c r="AB10" i="2"/>
  <c r="AL10" i="2"/>
  <c r="T13" i="2"/>
  <c r="U13" i="2" s="1"/>
  <c r="AB13" i="2"/>
  <c r="AL13" i="2"/>
  <c r="T9" i="2"/>
  <c r="U9" i="2" s="1"/>
  <c r="AB9" i="2"/>
  <c r="AL9" i="2"/>
  <c r="AN9" i="2" s="1"/>
  <c r="AO9" i="2" s="1"/>
  <c r="R18" i="2"/>
  <c r="P18" i="2"/>
  <c r="R21" i="2"/>
  <c r="P21" i="2"/>
  <c r="AM18" i="2"/>
  <c r="AC18" i="2"/>
  <c r="S22" i="2"/>
  <c r="AC10" i="2"/>
  <c r="AM10" i="2"/>
  <c r="O14" i="2"/>
  <c r="I8" i="2"/>
  <c r="H22" i="2"/>
  <c r="I22" i="2" s="1"/>
  <c r="AC8" i="2"/>
  <c r="AM8" i="2"/>
  <c r="P13" i="2"/>
  <c r="AM20" i="2"/>
  <c r="AC20" i="2"/>
  <c r="R11" i="2"/>
  <c r="P11" i="2"/>
  <c r="T14" i="2"/>
  <c r="U14" i="2" s="1"/>
  <c r="AB14" i="2"/>
  <c r="AL14" i="2"/>
  <c r="AM15" i="2"/>
  <c r="AC15" i="2"/>
  <c r="O10" i="2"/>
  <c r="AC16" i="2"/>
  <c r="AM16" i="2"/>
  <c r="O18" i="2"/>
  <c r="P20" i="2"/>
  <c r="R20" i="2"/>
  <c r="R15" i="2"/>
  <c r="P15" i="2"/>
  <c r="T16" i="2"/>
  <c r="U16" i="2" s="1"/>
  <c r="AB16" i="2"/>
  <c r="AL16" i="2"/>
  <c r="AM11" i="2"/>
  <c r="AC11" i="2"/>
  <c r="AC14" i="2"/>
  <c r="AM14" i="2"/>
  <c r="O16" i="2"/>
  <c r="R8" i="2"/>
  <c r="M22" i="2"/>
  <c r="O8" i="2"/>
  <c r="AC13" i="2"/>
  <c r="AM13" i="2"/>
  <c r="O15" i="2"/>
  <c r="P14" i="2"/>
  <c r="P10" i="2"/>
  <c r="P9" i="2"/>
  <c r="Y22" i="2"/>
  <c r="Z22" i="2" s="1"/>
  <c r="AD9" i="2" l="1"/>
  <c r="AE9" i="2" s="1"/>
  <c r="AD16" i="2"/>
  <c r="AE16" i="2" s="1"/>
  <c r="AN16" i="2"/>
  <c r="AO16" i="2" s="1"/>
  <c r="AN13" i="2"/>
  <c r="AO13" i="2" s="1"/>
  <c r="AD10" i="2"/>
  <c r="AE10" i="2" s="1"/>
  <c r="O22" i="2"/>
  <c r="T15" i="2"/>
  <c r="U15" i="2" s="1"/>
  <c r="AB15" i="2"/>
  <c r="AD15" i="2" s="1"/>
  <c r="AE15" i="2" s="1"/>
  <c r="AL15" i="2"/>
  <c r="AN15" i="2" s="1"/>
  <c r="AO15" i="2" s="1"/>
  <c r="AM22" i="2"/>
  <c r="AN10" i="2"/>
  <c r="AO10" i="2" s="1"/>
  <c r="AC22" i="2"/>
  <c r="T8" i="2"/>
  <c r="AB8" i="2"/>
  <c r="AL8" i="2"/>
  <c r="R22" i="2"/>
  <c r="T20" i="2"/>
  <c r="U20" i="2" s="1"/>
  <c r="AB20" i="2"/>
  <c r="AD20" i="2" s="1"/>
  <c r="AE20" i="2" s="1"/>
  <c r="AL20" i="2"/>
  <c r="AN20" i="2" s="1"/>
  <c r="AO20" i="2" s="1"/>
  <c r="AN14" i="2"/>
  <c r="AO14" i="2" s="1"/>
  <c r="T11" i="2"/>
  <c r="U11" i="2" s="1"/>
  <c r="AB11" i="2"/>
  <c r="AD11" i="2" s="1"/>
  <c r="AE11" i="2" s="1"/>
  <c r="AL11" i="2"/>
  <c r="AN11" i="2" s="1"/>
  <c r="AO11" i="2" s="1"/>
  <c r="AD13" i="2"/>
  <c r="AE13" i="2" s="1"/>
  <c r="T18" i="2"/>
  <c r="U18" i="2" s="1"/>
  <c r="AB18" i="2"/>
  <c r="AD18" i="2" s="1"/>
  <c r="AE18" i="2" s="1"/>
  <c r="AL18" i="2"/>
  <c r="AN18" i="2" s="1"/>
  <c r="AO18" i="2" s="1"/>
  <c r="P22" i="2"/>
  <c r="AD14" i="2"/>
  <c r="AE14" i="2" s="1"/>
  <c r="T21" i="2"/>
  <c r="U21" i="2" s="1"/>
  <c r="AB21" i="2"/>
  <c r="AD21" i="2" s="1"/>
  <c r="AE21" i="2" s="1"/>
  <c r="AL21" i="2"/>
  <c r="AN21" i="2" s="1"/>
  <c r="AO21" i="2" s="1"/>
  <c r="G21" i="10" l="1"/>
  <c r="F21" i="10" s="1"/>
  <c r="G16" i="10"/>
  <c r="F16" i="10" s="1"/>
  <c r="G39" i="10"/>
  <c r="F39" i="10" s="1"/>
  <c r="AD8" i="2"/>
  <c r="AB22" i="2"/>
  <c r="AL22" i="2"/>
  <c r="AN8" i="2"/>
  <c r="U8" i="2"/>
  <c r="T22" i="2"/>
  <c r="U22" i="2" s="1"/>
  <c r="G26" i="10" l="1"/>
  <c r="F26" i="10" s="1"/>
  <c r="F41" i="10" s="1"/>
  <c r="AO8" i="2"/>
  <c r="AN22" i="2"/>
  <c r="AO22" i="2" s="1"/>
  <c r="AD22" i="2"/>
  <c r="AE22" i="2" s="1"/>
  <c r="AE8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tiveJobsQuery" type="1" refreshedVersion="6" background="1" saveData="1">
    <dbPr connection="DSN=TL Construction Sample Data;CODEPAGE=1252;DATABASETYPE=1;DBQ=C:\ProgramData\Sage\Timberline Office\Data\Construction Sample Data\;DICTIONARYMODE=0;DRIVER={C:\Program Files (x86)\Timberline Office\Shared\tssimba.dll};MAXCOLSUPPORT=255;SHORTENNAMES=0;STANDARDMODE=0;UID=admin;" command="SELECT MASTER_JCM_JOB_1.Job, MASTER_JCM_JOB_1.Description, MASTER_JCM_JOB_1.Status, MASTER_JCM_JOB_1.Revised_Contract_Amount+MASTER_JCM_JOB_2.Extras_Revised_Contract_Amt-MASTER_JCM_JOB_1.NM_Aprvd_Contract_Chgs-MASTER_JCM_JOB_2.Extras_NM_Aprvd_Cntrc_Chgs, MASTER_JCM_JOB_1.JTD_Work_Billed+MASTER_JCM_JOB_2.Extras_JTD_Work_Billed-MASTER_JCM_JOB_1.NM_Work_Billed-MASTER_JCM_JOB_2.Extras_NM_Work_Billed, MASTER_JCM_JOB_1.JTD_Cost+MASTER_JCM_JOB_2.Extras_JTD_Cost-MASTER_JCM_JOB_1.NM_Cost-MASTER_JCM_JOB_2.Extras_NM_Cost, MASTER_JCM_JOB_1.MTD_Work_Billed+MASTER_JCM_JOB_2.Extras_MTD_Work_Billed, MASTER_JCM_JOB_1.YTD_Work_Billed+MASTER_JCM_JOB_2.Extras_YTD_Work_Billed-MASTER_JCM_JOB_1.NM_Work_Billed-MASTER_JCM_JOB_2.Extras_NM_Work_Billed, MASTER_JCM_JOB_1.MTD_Cost+MASTER_JCM_JOB_2.Extras_MTD_Cst, MASTER_JCM_JOB_1.YTD_Cost+MASTER_JCM_JOB_2.Extras_YTD_Cost-MASTER_JCM_JOB_1.NM_Cost-MASTER_JCM_JOB_2.Extras_NM_Cost_x000d__x000a_FROM MASTER_JCM_JOB_1 MASTER_JCM_JOB_1, MASTER_JCM_JOB_2 MASTER_JCM_JOB_2_x000d__x000a_WHERE MASTER_JCM_JOB_1.Job = MASTER_JCM_JOB_2.Job AND ((MASTER_JCM_JOB_1.Status&lt;&gt;'Closed') OR (MASTER_JCM_JOB_1.YTD_Work_Billed+MASTER_JCM_JOB_2.Extras_YTD_Work_Billed-MASTER_JCM_JOB_1.NM_Work_Billed-MASTER_JCM_JOB_2.Extras_NM_Work_Billed&lt;&gt;0) OR (MASTER_JCM_JOB_1.YTD_Cost+MASTER_JCM_JOB_2.Extras_YTD_Cost-MASTER_JCM_JOB_1.NM_Cost-MASTER_JCM_JOB_2.Extras_NM_Cost&lt;&gt;0))"/>
  </connection>
  <connection id="2" xr16:uid="{00000000-0015-0000-FFFF-FFFF01000000}" name="GLAccountsQuery" type="1" refreshedVersion="6" background="1" saveData="1">
    <dbPr connection="DSN=TL Construction Sample Data;CODEPAGE=1252;DATABASETYPE=1;DBQ=C:\ProgramData\SAGE\TIMBERLINE OFFICE\Data\Construction Sample Data\;DICTIONARYMODE=0;MAXCOLSUPPORT=255;SHORTENNAMES=0;STANDARDMODE=0;" command="SELECT MASTER_GLM_ACCOUNT.Account, MASTER_GLM_ACCOUNT.Account_Title, MASTER_GLM_ACCOUNT.Current_Period_Activity, MASTER_GLM_ACCOUNT.Current_Balance, MASTER_GLM_ACCOUNT.End_Balance_1_Year_Ago_x000d__x000a_FROM MASTER_GLM_ACCOUNT MASTER_GLM_ACCOUNT"/>
  </connection>
  <connection id="3" xr16:uid="{00000000-0015-0000-FFFF-FFFF02000000}" name="GLCompanyQuery" type="1" refreshedVersion="6" background="1" saveData="1">
    <dbPr connection="DSN=TL Construction Sample Data;CODEPAGE=1252;DATABASETYPE=1;DBQ=C:\ProgramData\SAGE\TIMBERLINE OFFICE\Data\Construction Sample Data\;DICTIONARYMODE=0;MAXCOLSUPPORT=255;SHORTENNAMES=0;STANDARDMODE=0;" command="SELECT MASTER_GLM_COMPANY_1.Company, MASTER_GLM_COMPANY_1.Company_Description, MASTER_GLM_COMPANY_1.Fiscal_Entity_Level, MASTER_GLM_COMPANY_1.Period_Ending_Date, MASTER_GLM_COMPANY_1.Period_Code, MASTER_GLM_COMPANY_1.Fiscal_Ending_Date_x000d__x000a_FROM MASTER_GLM_COMPANY_1 MASTER_GLM_COMPANY_1"/>
  </connection>
  <connection id="4" xr16:uid="{00000000-0015-0000-FFFF-FFFF03000000}" name="JobCosrControlsQuery" type="1" refreshedVersion="6" background="1" saveData="1">
    <dbPr connection="DSN=TL Construction Sample Data;CODEPAGE=1252;DATABASETYPE=1;DBQ=C:\ProgramData\SAGE\TIMBERLINE OFFICE\Data\Construction Sample Data\;DICTIONARYMODE=0;MAXCOLSUPPORT=255;SHORTENNAMES=0;STANDARDMODE=0;" command="SELECT MASTER_JCM_JC_COST_CONTROLS.Period_Size, MASTER_JCM_JC_COST_CONTROLS.Week_End_Date, MASTER_JCM_JC_COST_CONTROLS.Current_Month, MASTER_JCM_JC_COST_CONTROLS.Fiscal_Year_End_Date_x000d__x000a_FROM MASTER_JCM_JC_COST_CONTROLS MASTER_JCM_JC_COST_CONTROLS"/>
  </connection>
</connections>
</file>

<file path=xl/sharedStrings.xml><?xml version="1.0" encoding="utf-8"?>
<sst xmlns="http://schemas.openxmlformats.org/spreadsheetml/2006/main" count="1069" uniqueCount="665">
  <si>
    <t>Job</t>
  </si>
  <si>
    <t>03-001</t>
  </si>
  <si>
    <t>Description</t>
  </si>
  <si>
    <t>NW Food Warehouse</t>
  </si>
  <si>
    <t>Data Source Name:</t>
  </si>
  <si>
    <t>File Location:</t>
  </si>
  <si>
    <t>Table Naming:</t>
  </si>
  <si>
    <t>Custom Descriptions</t>
  </si>
  <si>
    <t>Use Max Table Size:</t>
  </si>
  <si>
    <t>Unchecked</t>
  </si>
  <si>
    <t>Shorten Field Names:</t>
  </si>
  <si>
    <t>TL Construction Sample Data</t>
  </si>
  <si>
    <t>C:\ProgramData\Sage\Timberline Office\Data\Construction Sample Data</t>
  </si>
  <si>
    <t>Data</t>
  </si>
  <si>
    <t>Lab</t>
  </si>
  <si>
    <t>Conference</t>
  </si>
  <si>
    <t>The query examples in this workbook use the following DNS source(s)</t>
  </si>
  <si>
    <t>Insurance</t>
  </si>
  <si>
    <t>03-002</t>
  </si>
  <si>
    <t>03-003</t>
  </si>
  <si>
    <t>03-004</t>
  </si>
  <si>
    <t>03-005</t>
  </si>
  <si>
    <t>03-006</t>
  </si>
  <si>
    <t>03-009</t>
  </si>
  <si>
    <t>03-010</t>
  </si>
  <si>
    <t>03-011</t>
  </si>
  <si>
    <t>03-012</t>
  </si>
  <si>
    <t>03-015</t>
  </si>
  <si>
    <t>Clackamas Office Park #4</t>
  </si>
  <si>
    <t>Fort Wayne Officer's Club</t>
  </si>
  <si>
    <t>Metro Bus Stop 47</t>
  </si>
  <si>
    <t>Metro Bus Stop 39</t>
  </si>
  <si>
    <t>PGE Line WO#345</t>
  </si>
  <si>
    <t>03-007</t>
  </si>
  <si>
    <t>Low Income Housing</t>
  </si>
  <si>
    <t>03-008</t>
  </si>
  <si>
    <t>Rose Garden Arena Rewiring</t>
  </si>
  <si>
    <t>OHSU Lighting Renovation</t>
  </si>
  <si>
    <t>Tri-Tech Fab Lab</t>
  </si>
  <si>
    <t>Cordova Middle School</t>
  </si>
  <si>
    <t>Tri Tech Lab</t>
  </si>
  <si>
    <t>03-014</t>
  </si>
  <si>
    <t>Downtown Supermarket</t>
  </si>
  <si>
    <t>Beaverton Office Park</t>
  </si>
  <si>
    <t>Timberline Construction</t>
  </si>
  <si>
    <t>Status</t>
  </si>
  <si>
    <t>In progress</t>
  </si>
  <si>
    <t>Unstarted</t>
  </si>
  <si>
    <t>Contract</t>
  </si>
  <si>
    <t>Billed</t>
  </si>
  <si>
    <t>Billings</t>
  </si>
  <si>
    <t>Costs</t>
  </si>
  <si>
    <t>MTD Billed</t>
  </si>
  <si>
    <t>YTD Billed</t>
  </si>
  <si>
    <t>MTD Costs</t>
  </si>
  <si>
    <t>YTD Costs</t>
  </si>
  <si>
    <t>10-4001</t>
  </si>
  <si>
    <t>21-4001</t>
  </si>
  <si>
    <t>Sample Month End WIP Schedule</t>
  </si>
  <si>
    <t>Job Name</t>
  </si>
  <si>
    <t>Adjusted</t>
  </si>
  <si>
    <t>Projected</t>
  </si>
  <si>
    <t>Profit</t>
  </si>
  <si>
    <t>Gross</t>
  </si>
  <si>
    <t>Profit %</t>
  </si>
  <si>
    <t xml:space="preserve">Costs </t>
  </si>
  <si>
    <t>to Date</t>
  </si>
  <si>
    <t>%age</t>
  </si>
  <si>
    <t>Comp</t>
  </si>
  <si>
    <t>Earned</t>
  </si>
  <si>
    <t>Over</t>
  </si>
  <si>
    <t>Under</t>
  </si>
  <si>
    <t>Prior Months Totals</t>
  </si>
  <si>
    <t>Current Months Totals</t>
  </si>
  <si>
    <t>Prior Year Totals</t>
  </si>
  <si>
    <t>Current Year Total</t>
  </si>
  <si>
    <t>Job Period Information</t>
  </si>
  <si>
    <t>Current_Month</t>
  </si>
  <si>
    <t>Fiscal_Year_End_Date</t>
  </si>
  <si>
    <t>May</t>
  </si>
  <si>
    <t>Period_Size</t>
  </si>
  <si>
    <t>Week_End_Date</t>
  </si>
  <si>
    <t>Weekly</t>
  </si>
  <si>
    <t>General Ledger Information</t>
  </si>
  <si>
    <t>Account</t>
  </si>
  <si>
    <t>Account_Title</t>
  </si>
  <si>
    <t>Current_Period_Activity</t>
  </si>
  <si>
    <t>Current_Balance</t>
  </si>
  <si>
    <t>End_Balance_1_Year_Ago</t>
  </si>
  <si>
    <t>10-1001</t>
  </si>
  <si>
    <t>Cash</t>
  </si>
  <si>
    <t>10-1005</t>
  </si>
  <si>
    <t>Petty Cash</t>
  </si>
  <si>
    <t>10-1201</t>
  </si>
  <si>
    <t>Accounts Receivable</t>
  </si>
  <si>
    <t>10-1202</t>
  </si>
  <si>
    <t>Notes Receivable</t>
  </si>
  <si>
    <t>10-1203</t>
  </si>
  <si>
    <t>Draws Receivable</t>
  </si>
  <si>
    <t>10-1204</t>
  </si>
  <si>
    <t>Retainage Receivable</t>
  </si>
  <si>
    <t>10-1205</t>
  </si>
  <si>
    <t>Due From Other Timberline Companies</t>
  </si>
  <si>
    <t>10-1206</t>
  </si>
  <si>
    <t>Employee Advances</t>
  </si>
  <si>
    <t>10-1207</t>
  </si>
  <si>
    <t>Other Receivables</t>
  </si>
  <si>
    <t>10-1300</t>
  </si>
  <si>
    <t>Agreement 12 month</t>
  </si>
  <si>
    <t>10-1310</t>
  </si>
  <si>
    <t>Agreement 3 month</t>
  </si>
  <si>
    <t>10-1400</t>
  </si>
  <si>
    <t>WIP - Parts</t>
  </si>
  <si>
    <t>10-1410</t>
  </si>
  <si>
    <t>WIP - Labor</t>
  </si>
  <si>
    <t>10-1420</t>
  </si>
  <si>
    <t>WIP - Miscellaneous</t>
  </si>
  <si>
    <t>10-1430</t>
  </si>
  <si>
    <t>WIP - F/R Parts</t>
  </si>
  <si>
    <t>10-1440</t>
  </si>
  <si>
    <t>WIP - F/R Labor</t>
  </si>
  <si>
    <t>10-1450</t>
  </si>
  <si>
    <t>WIP - Agreements</t>
  </si>
  <si>
    <t>10-1460</t>
  </si>
  <si>
    <t>WIP - Small Jobs</t>
  </si>
  <si>
    <t>10-1501</t>
  </si>
  <si>
    <t>Cost in Excess of Billings</t>
  </si>
  <si>
    <t>10-1601</t>
  </si>
  <si>
    <t>Parts Inventory</t>
  </si>
  <si>
    <t>10-1602</t>
  </si>
  <si>
    <t>Inventory - Standard Costing Contra</t>
  </si>
  <si>
    <t>10-1701</t>
  </si>
  <si>
    <t>Investments</t>
  </si>
  <si>
    <t>10-1801</t>
  </si>
  <si>
    <t>Land</t>
  </si>
  <si>
    <t>10-1802</t>
  </si>
  <si>
    <t>Buildings</t>
  </si>
  <si>
    <t>10-1803</t>
  </si>
  <si>
    <t>Furniture &amp; Fixtures</t>
  </si>
  <si>
    <t>10-1804</t>
  </si>
  <si>
    <t>Motor Vehicles</t>
  </si>
  <si>
    <t>10-1805</t>
  </si>
  <si>
    <t>Construction Equipment</t>
  </si>
  <si>
    <t>10-1902</t>
  </si>
  <si>
    <t>Accum Depreciation - Buildings</t>
  </si>
  <si>
    <t>10-1903</t>
  </si>
  <si>
    <t>Accum Depreciation - Furniture</t>
  </si>
  <si>
    <t>10-1904</t>
  </si>
  <si>
    <t>Accum Depreciation - Vehicles</t>
  </si>
  <si>
    <t>10-1905</t>
  </si>
  <si>
    <t>Accum Depreciation - Equipment</t>
  </si>
  <si>
    <t>10-2001</t>
  </si>
  <si>
    <t>Accounts Payable</t>
  </si>
  <si>
    <t>10-2002</t>
  </si>
  <si>
    <t>Notes Payable</t>
  </si>
  <si>
    <t>10-2003</t>
  </si>
  <si>
    <t>Subcontracts Payable</t>
  </si>
  <si>
    <t>10-2004</t>
  </si>
  <si>
    <t>Retainage Payable</t>
  </si>
  <si>
    <t>10-2005</t>
  </si>
  <si>
    <t>Tax Payable</t>
  </si>
  <si>
    <t>10-2006</t>
  </si>
  <si>
    <t>Deposits</t>
  </si>
  <si>
    <t>10-2007</t>
  </si>
  <si>
    <t>Due To Other Timberline Companies</t>
  </si>
  <si>
    <t>10-2008</t>
  </si>
  <si>
    <t>Credit Card Payable</t>
  </si>
  <si>
    <t>10-2011</t>
  </si>
  <si>
    <t>Refund Holding Account</t>
  </si>
  <si>
    <t>10-2050</t>
  </si>
  <si>
    <t>PO Accrual</t>
  </si>
  <si>
    <t>10-2101</t>
  </si>
  <si>
    <t>Union Payable</t>
  </si>
  <si>
    <t>10-2102</t>
  </si>
  <si>
    <t>Federal Income Tax Withheld</t>
  </si>
  <si>
    <t>10-2103</t>
  </si>
  <si>
    <t>State Income Tax Withheld</t>
  </si>
  <si>
    <t>10-2104</t>
  </si>
  <si>
    <t>FICA - Employee</t>
  </si>
  <si>
    <t>10-2105</t>
  </si>
  <si>
    <t>FICA - Employer</t>
  </si>
  <si>
    <t>10-2106</t>
  </si>
  <si>
    <t>Health Insurance</t>
  </si>
  <si>
    <t>10-2107</t>
  </si>
  <si>
    <t>Workers' Comp Insurance</t>
  </si>
  <si>
    <t>10-2108</t>
  </si>
  <si>
    <t>Unemployment Insurance</t>
  </si>
  <si>
    <t>10-2109</t>
  </si>
  <si>
    <t>Other Withholdings</t>
  </si>
  <si>
    <t>10-2201</t>
  </si>
  <si>
    <t>Property Taxes</t>
  </si>
  <si>
    <t>10-2205</t>
  </si>
  <si>
    <t>Loans Payable - Short</t>
  </si>
  <si>
    <t>10-2206</t>
  </si>
  <si>
    <t>Billings in Excess of Cost</t>
  </si>
  <si>
    <t>10-2301</t>
  </si>
  <si>
    <t>Accrued Salaries/Wages</t>
  </si>
  <si>
    <t>10-2302</t>
  </si>
  <si>
    <t>Accrued Vacation/Sick</t>
  </si>
  <si>
    <t>10-2303</t>
  </si>
  <si>
    <t>Accrued Union Benefits</t>
  </si>
  <si>
    <t>10-2304</t>
  </si>
  <si>
    <t>Accrued Disability Insurance</t>
  </si>
  <si>
    <t>10-2305</t>
  </si>
  <si>
    <t>Accrued 401K</t>
  </si>
  <si>
    <t>10-2401</t>
  </si>
  <si>
    <t>Loans Payable - Long</t>
  </si>
  <si>
    <t>10-2402</t>
  </si>
  <si>
    <t>Mortgages Payable</t>
  </si>
  <si>
    <t>10-2403</t>
  </si>
  <si>
    <t>Deferred Income Tax Payable</t>
  </si>
  <si>
    <t>10-3001</t>
  </si>
  <si>
    <t>Owners' Equity</t>
  </si>
  <si>
    <t>10-3010</t>
  </si>
  <si>
    <t>Retained Earnings</t>
  </si>
  <si>
    <t>Income</t>
  </si>
  <si>
    <t>10-4002</t>
  </si>
  <si>
    <t>Discount Income</t>
  </si>
  <si>
    <t>10-4003</t>
  </si>
  <si>
    <t>Other Income</t>
  </si>
  <si>
    <t>10-4004</t>
  </si>
  <si>
    <t>Write Off-contra account</t>
  </si>
  <si>
    <t>10-4100</t>
  </si>
  <si>
    <t>Agreement Sales</t>
  </si>
  <si>
    <t>10-4110</t>
  </si>
  <si>
    <t>Sales - Parts</t>
  </si>
  <si>
    <t>10-4120</t>
  </si>
  <si>
    <t>Sales - Labor</t>
  </si>
  <si>
    <t>10-4130</t>
  </si>
  <si>
    <t>Sales - Miscellaneous</t>
  </si>
  <si>
    <t>10-4140</t>
  </si>
  <si>
    <t>Sales - F/R Parts</t>
  </si>
  <si>
    <t>10-4150</t>
  </si>
  <si>
    <t>Sales - F/R Labor</t>
  </si>
  <si>
    <t>10-4160</t>
  </si>
  <si>
    <t>Finance Charge</t>
  </si>
  <si>
    <t>10-4170</t>
  </si>
  <si>
    <t>Sales - Trip Charge</t>
  </si>
  <si>
    <t>10-4180</t>
  </si>
  <si>
    <t>Sales - Small Jobs</t>
  </si>
  <si>
    <t>10-5001</t>
  </si>
  <si>
    <t>Cost of Sales - Labor</t>
  </si>
  <si>
    <t>10-5002</t>
  </si>
  <si>
    <t>Cost of Sales - Subcontract</t>
  </si>
  <si>
    <t>10-5003</t>
  </si>
  <si>
    <t>Cost of Sales - Materials</t>
  </si>
  <si>
    <t>10-5004</t>
  </si>
  <si>
    <t>Cost of Sales - Equipment</t>
  </si>
  <si>
    <t>10-5005</t>
  </si>
  <si>
    <t>Cost of Sales - Other</t>
  </si>
  <si>
    <t>10-5100</t>
  </si>
  <si>
    <t>Expense - Parts</t>
  </si>
  <si>
    <t>10-5110</t>
  </si>
  <si>
    <t>Expense - Labor</t>
  </si>
  <si>
    <t>10-5120</t>
  </si>
  <si>
    <t>Expense - Miscellaneous</t>
  </si>
  <si>
    <t>10-5130</t>
  </si>
  <si>
    <t>Expense - F/R Parts</t>
  </si>
  <si>
    <t>10-5140</t>
  </si>
  <si>
    <t>Expense - F/R Labor</t>
  </si>
  <si>
    <t>10-5150</t>
  </si>
  <si>
    <t>Expense - Trip Charge</t>
  </si>
  <si>
    <t>10-5160</t>
  </si>
  <si>
    <t>Expense - Agreements</t>
  </si>
  <si>
    <t>10-5170</t>
  </si>
  <si>
    <t>Expense - Small Jobs</t>
  </si>
  <si>
    <t>10-5180</t>
  </si>
  <si>
    <t>Purchase Variance</t>
  </si>
  <si>
    <t>10-5190</t>
  </si>
  <si>
    <t>Inventory Adjustments</t>
  </si>
  <si>
    <t>10-6001</t>
  </si>
  <si>
    <t>Executive Compensation</t>
  </si>
  <si>
    <t>10-6002</t>
  </si>
  <si>
    <t>Admin Compensation</t>
  </si>
  <si>
    <t>10-6003</t>
  </si>
  <si>
    <t>Field Wages</t>
  </si>
  <si>
    <t>10-6004</t>
  </si>
  <si>
    <t>Bonuses</t>
  </si>
  <si>
    <t>10-6005</t>
  </si>
  <si>
    <t>Other Compensation</t>
  </si>
  <si>
    <t>10-6006</t>
  </si>
  <si>
    <t>Employee Benefits</t>
  </si>
  <si>
    <t>10-6101</t>
  </si>
  <si>
    <t>Advertising</t>
  </si>
  <si>
    <t>10-6102</t>
  </si>
  <si>
    <t>Auto/Truck Expense</t>
  </si>
  <si>
    <t>10-6103</t>
  </si>
  <si>
    <t>Bad Debts</t>
  </si>
  <si>
    <t>10-6104</t>
  </si>
  <si>
    <t>Depreciation</t>
  </si>
  <si>
    <t>10-6105</t>
  </si>
  <si>
    <t>Equipment Rental</t>
  </si>
  <si>
    <t>10-6106</t>
  </si>
  <si>
    <t>Freight</t>
  </si>
  <si>
    <t>10-6107</t>
  </si>
  <si>
    <t>10-6108</t>
  </si>
  <si>
    <t>Interest</t>
  </si>
  <si>
    <t>10-6109</t>
  </si>
  <si>
    <t>Legal/Accounting Fees</t>
  </si>
  <si>
    <t>10-6110</t>
  </si>
  <si>
    <t>Licenses/Taxes</t>
  </si>
  <si>
    <t>10-6111</t>
  </si>
  <si>
    <t>Misc Expenses</t>
  </si>
  <si>
    <t>10-6112</t>
  </si>
  <si>
    <t>Office Supplies</t>
  </si>
  <si>
    <t>10-6113</t>
  </si>
  <si>
    <t>Postage</t>
  </si>
  <si>
    <t>10-6114</t>
  </si>
  <si>
    <t>Other Expenses</t>
  </si>
  <si>
    <t>10-6115</t>
  </si>
  <si>
    <t>Rent</t>
  </si>
  <si>
    <t>10-6116</t>
  </si>
  <si>
    <t>Repairs</t>
  </si>
  <si>
    <t>10-6117</t>
  </si>
  <si>
    <t>Supplies/Tools</t>
  </si>
  <si>
    <t>10-6118</t>
  </si>
  <si>
    <t>Taxes</t>
  </si>
  <si>
    <t>10-6119</t>
  </si>
  <si>
    <t>Telephone</t>
  </si>
  <si>
    <t>10-6120</t>
  </si>
  <si>
    <t>Travel/Entertainment</t>
  </si>
  <si>
    <t>10-6121</t>
  </si>
  <si>
    <t>Utilities</t>
  </si>
  <si>
    <t>10-6122</t>
  </si>
  <si>
    <t>Marketing Expense</t>
  </si>
  <si>
    <t>10-6123</t>
  </si>
  <si>
    <t>Fees/Commitments</t>
  </si>
  <si>
    <t>10-6124</t>
  </si>
  <si>
    <t>10-6125</t>
  </si>
  <si>
    <t>Hazard/Construction Insurance</t>
  </si>
  <si>
    <t>10-6126</t>
  </si>
  <si>
    <t>Other Financing Costs</t>
  </si>
  <si>
    <t>10-6127</t>
  </si>
  <si>
    <t>Bank Charges</t>
  </si>
  <si>
    <t>10-9999</t>
  </si>
  <si>
    <t>Suspense Account</t>
  </si>
  <si>
    <t>21-1001</t>
  </si>
  <si>
    <t>21-1005</t>
  </si>
  <si>
    <t>21-1201</t>
  </si>
  <si>
    <t>21-1202</t>
  </si>
  <si>
    <t>21-1203</t>
  </si>
  <si>
    <t>21-1204</t>
  </si>
  <si>
    <t>21-1205</t>
  </si>
  <si>
    <t>21-1206</t>
  </si>
  <si>
    <t>21-1207</t>
  </si>
  <si>
    <t>21-1300</t>
  </si>
  <si>
    <t>21-1310</t>
  </si>
  <si>
    <t>21-1400</t>
  </si>
  <si>
    <t>21-1410</t>
  </si>
  <si>
    <t>21-1420</t>
  </si>
  <si>
    <t>21-1430</t>
  </si>
  <si>
    <t>21-1440</t>
  </si>
  <si>
    <t>21-1450</t>
  </si>
  <si>
    <t>21-1460</t>
  </si>
  <si>
    <t>21-1501</t>
  </si>
  <si>
    <t>21-1601</t>
  </si>
  <si>
    <t>21-1602</t>
  </si>
  <si>
    <t>21-1701</t>
  </si>
  <si>
    <t>21-1801</t>
  </si>
  <si>
    <t>21-1802</t>
  </si>
  <si>
    <t>21-1803</t>
  </si>
  <si>
    <t>21-1804</t>
  </si>
  <si>
    <t>21-1805</t>
  </si>
  <si>
    <t>21-1902</t>
  </si>
  <si>
    <t>21-1903</t>
  </si>
  <si>
    <t>21-1904</t>
  </si>
  <si>
    <t>21-1905</t>
  </si>
  <si>
    <t>21-2001</t>
  </si>
  <si>
    <t>21-2002</t>
  </si>
  <si>
    <t>21-2003</t>
  </si>
  <si>
    <t>21-2004</t>
  </si>
  <si>
    <t>21-2005</t>
  </si>
  <si>
    <t>21-2006</t>
  </si>
  <si>
    <t>21-2007</t>
  </si>
  <si>
    <t>21-2008</t>
  </si>
  <si>
    <t>21-2011</t>
  </si>
  <si>
    <t>21-2050</t>
  </si>
  <si>
    <t>21-2101</t>
  </si>
  <si>
    <t>21-2102</t>
  </si>
  <si>
    <t>21-2103</t>
  </si>
  <si>
    <t>21-2104</t>
  </si>
  <si>
    <t>21-2105</t>
  </si>
  <si>
    <t>21-2106</t>
  </si>
  <si>
    <t>21-2107</t>
  </si>
  <si>
    <t>21-2108</t>
  </si>
  <si>
    <t>21-2109</t>
  </si>
  <si>
    <t>21-2201</t>
  </si>
  <si>
    <t>21-2205</t>
  </si>
  <si>
    <t>21-2206</t>
  </si>
  <si>
    <t>21-2301</t>
  </si>
  <si>
    <t>21-2302</t>
  </si>
  <si>
    <t>21-2303</t>
  </si>
  <si>
    <t>21-2304</t>
  </si>
  <si>
    <t>21-2305</t>
  </si>
  <si>
    <t>21-2401</t>
  </si>
  <si>
    <t>21-2402</t>
  </si>
  <si>
    <t>21-2403</t>
  </si>
  <si>
    <t>21-3001</t>
  </si>
  <si>
    <t>21-3010</t>
  </si>
  <si>
    <t>21-4002</t>
  </si>
  <si>
    <t>21-4003</t>
  </si>
  <si>
    <t>21-4004</t>
  </si>
  <si>
    <t>21-4100</t>
  </si>
  <si>
    <t>21-4110</t>
  </si>
  <si>
    <t>21-4120</t>
  </si>
  <si>
    <t>21-4130</t>
  </si>
  <si>
    <t>21-4140</t>
  </si>
  <si>
    <t>21-4150</t>
  </si>
  <si>
    <t>21-4160</t>
  </si>
  <si>
    <t>21-4170</t>
  </si>
  <si>
    <t>21-4180</t>
  </si>
  <si>
    <t>21-5001</t>
  </si>
  <si>
    <t>21-5002</t>
  </si>
  <si>
    <t>21-5003</t>
  </si>
  <si>
    <t>21-5004</t>
  </si>
  <si>
    <t>21-5005</t>
  </si>
  <si>
    <t>21-5100</t>
  </si>
  <si>
    <t>21-5110</t>
  </si>
  <si>
    <t>21-5120</t>
  </si>
  <si>
    <t>21-5130</t>
  </si>
  <si>
    <t>21-5140</t>
  </si>
  <si>
    <t>21-5150</t>
  </si>
  <si>
    <t>21-5160</t>
  </si>
  <si>
    <t>21-5170</t>
  </si>
  <si>
    <t>21-5180</t>
  </si>
  <si>
    <t>21-5190</t>
  </si>
  <si>
    <t>21-6001</t>
  </si>
  <si>
    <t>21-6002</t>
  </si>
  <si>
    <t>21-6003</t>
  </si>
  <si>
    <t>21-6004</t>
  </si>
  <si>
    <t>21-6005</t>
  </si>
  <si>
    <t>21-6006</t>
  </si>
  <si>
    <t>21-6101</t>
  </si>
  <si>
    <t>21-6102</t>
  </si>
  <si>
    <t>21-6103</t>
  </si>
  <si>
    <t>21-6104</t>
  </si>
  <si>
    <t>21-6105</t>
  </si>
  <si>
    <t>21-6106</t>
  </si>
  <si>
    <t>21-6107</t>
  </si>
  <si>
    <t>21-6108</t>
  </si>
  <si>
    <t>21-6109</t>
  </si>
  <si>
    <t>21-6110</t>
  </si>
  <si>
    <t>21-6111</t>
  </si>
  <si>
    <t>21-6112</t>
  </si>
  <si>
    <t>21-6113</t>
  </si>
  <si>
    <t>21-6114</t>
  </si>
  <si>
    <t>21-6115</t>
  </si>
  <si>
    <t>21-6116</t>
  </si>
  <si>
    <t>21-6117</t>
  </si>
  <si>
    <t>21-6118</t>
  </si>
  <si>
    <t>21-6119</t>
  </si>
  <si>
    <t>21-6120</t>
  </si>
  <si>
    <t>21-6121</t>
  </si>
  <si>
    <t>21-6122</t>
  </si>
  <si>
    <t>21-6123</t>
  </si>
  <si>
    <t>21-6124</t>
  </si>
  <si>
    <t>21-6125</t>
  </si>
  <si>
    <t>21-6126</t>
  </si>
  <si>
    <t>21-6127</t>
  </si>
  <si>
    <t>22-1001</t>
  </si>
  <si>
    <t>22-1005</t>
  </si>
  <si>
    <t>22-1201</t>
  </si>
  <si>
    <t>22-1202</t>
  </si>
  <si>
    <t>22-1203</t>
  </si>
  <si>
    <t>22-1204</t>
  </si>
  <si>
    <t>22-1205</t>
  </si>
  <si>
    <t>22-1206</t>
  </si>
  <si>
    <t>22-1207</t>
  </si>
  <si>
    <t>22-1300</t>
  </si>
  <si>
    <t>22-1310</t>
  </si>
  <si>
    <t>22-1400</t>
  </si>
  <si>
    <t>22-1410</t>
  </si>
  <si>
    <t>22-1420</t>
  </si>
  <si>
    <t>22-1430</t>
  </si>
  <si>
    <t>22-1440</t>
  </si>
  <si>
    <t>22-1450</t>
  </si>
  <si>
    <t>22-1460</t>
  </si>
  <si>
    <t>22-1501</t>
  </si>
  <si>
    <t>22-1601</t>
  </si>
  <si>
    <t>22-1701</t>
  </si>
  <si>
    <t>22-1801</t>
  </si>
  <si>
    <t>22-1802</t>
  </si>
  <si>
    <t>22-1803</t>
  </si>
  <si>
    <t>22-1804</t>
  </si>
  <si>
    <t>22-1805</t>
  </si>
  <si>
    <t>22-1902</t>
  </si>
  <si>
    <t>22-1903</t>
  </si>
  <si>
    <t>22-1904</t>
  </si>
  <si>
    <t>22-1905</t>
  </si>
  <si>
    <t>22-2001</t>
  </si>
  <si>
    <t>22-2002</t>
  </si>
  <si>
    <t>22-2003</t>
  </si>
  <si>
    <t>22-2004</t>
  </si>
  <si>
    <t>22-2005</t>
  </si>
  <si>
    <t>22-2006</t>
  </si>
  <si>
    <t>22-2007</t>
  </si>
  <si>
    <t>22-2008</t>
  </si>
  <si>
    <t>22-2011</t>
  </si>
  <si>
    <t>22-2050</t>
  </si>
  <si>
    <t>22-2101</t>
  </si>
  <si>
    <t>22-2102</t>
  </si>
  <si>
    <t>22-2103</t>
  </si>
  <si>
    <t>22-2104</t>
  </si>
  <si>
    <t>22-2105</t>
  </si>
  <si>
    <t>22-2106</t>
  </si>
  <si>
    <t>22-2107</t>
  </si>
  <si>
    <t>22-2108</t>
  </si>
  <si>
    <t>22-2109</t>
  </si>
  <si>
    <t>22-2201</t>
  </si>
  <si>
    <t>22-2205</t>
  </si>
  <si>
    <t>22-2206</t>
  </si>
  <si>
    <t>22-2301</t>
  </si>
  <si>
    <t>22-2302</t>
  </si>
  <si>
    <t>22-2303</t>
  </si>
  <si>
    <t>22-2304</t>
  </si>
  <si>
    <t>22-2305</t>
  </si>
  <si>
    <t>22-2401</t>
  </si>
  <si>
    <t>22-2402</t>
  </si>
  <si>
    <t>22-2403</t>
  </si>
  <si>
    <t>22-3001</t>
  </si>
  <si>
    <t>22-3010</t>
  </si>
  <si>
    <t>22-4001</t>
  </si>
  <si>
    <t>22-4002</t>
  </si>
  <si>
    <t>22-4003</t>
  </si>
  <si>
    <t>22-4004</t>
  </si>
  <si>
    <t>22-4100</t>
  </si>
  <si>
    <t>22-4110</t>
  </si>
  <si>
    <t>22-4120</t>
  </si>
  <si>
    <t>22-4130</t>
  </si>
  <si>
    <t>22-4140</t>
  </si>
  <si>
    <t>22-4150</t>
  </si>
  <si>
    <t>22-4160</t>
  </si>
  <si>
    <t>22-4170</t>
  </si>
  <si>
    <t>22-4180</t>
  </si>
  <si>
    <t>22-5001</t>
  </si>
  <si>
    <t>22-5002</t>
  </si>
  <si>
    <t>22-5003</t>
  </si>
  <si>
    <t>22-5004</t>
  </si>
  <si>
    <t>22-5005</t>
  </si>
  <si>
    <t>22-5100</t>
  </si>
  <si>
    <t>22-5110</t>
  </si>
  <si>
    <t>22-5120</t>
  </si>
  <si>
    <t>22-5130</t>
  </si>
  <si>
    <t>22-5140</t>
  </si>
  <si>
    <t>22-5150</t>
  </si>
  <si>
    <t>22-5160</t>
  </si>
  <si>
    <t>22-5170</t>
  </si>
  <si>
    <t>22-5180</t>
  </si>
  <si>
    <t>22-5190</t>
  </si>
  <si>
    <t>22-6001</t>
  </si>
  <si>
    <t>22-6002</t>
  </si>
  <si>
    <t>22-6003</t>
  </si>
  <si>
    <t>22-6004</t>
  </si>
  <si>
    <t>22-6005</t>
  </si>
  <si>
    <t>22-6006</t>
  </si>
  <si>
    <t>22-6101</t>
  </si>
  <si>
    <t>22-6102</t>
  </si>
  <si>
    <t>22-6103</t>
  </si>
  <si>
    <t>22-6104</t>
  </si>
  <si>
    <t>22-6105</t>
  </si>
  <si>
    <t>22-6106</t>
  </si>
  <si>
    <t>22-6107</t>
  </si>
  <si>
    <t>22-6108</t>
  </si>
  <si>
    <t>22-6109</t>
  </si>
  <si>
    <t>22-6110</t>
  </si>
  <si>
    <t>22-6111</t>
  </si>
  <si>
    <t>22-6112</t>
  </si>
  <si>
    <t>22-6113</t>
  </si>
  <si>
    <t>22-6114</t>
  </si>
  <si>
    <t>22-6115</t>
  </si>
  <si>
    <t>22-6116</t>
  </si>
  <si>
    <t>22-6117</t>
  </si>
  <si>
    <t>22-6118</t>
  </si>
  <si>
    <t>22-6119</t>
  </si>
  <si>
    <t>22-6120</t>
  </si>
  <si>
    <t>22-6121</t>
  </si>
  <si>
    <t>22-6122</t>
  </si>
  <si>
    <t>22-6123</t>
  </si>
  <si>
    <t>22-6124</t>
  </si>
  <si>
    <t>22-6125</t>
  </si>
  <si>
    <t>22-6126</t>
  </si>
  <si>
    <t>22-6127</t>
  </si>
  <si>
    <t>50-1300</t>
  </si>
  <si>
    <t>50-1310</t>
  </si>
  <si>
    <t>50-1400</t>
  </si>
  <si>
    <t>50-1410</t>
  </si>
  <si>
    <t>50-1420</t>
  </si>
  <si>
    <t>50-1430</t>
  </si>
  <si>
    <t>50-1440</t>
  </si>
  <si>
    <t>50-1450</t>
  </si>
  <si>
    <t>50-1460</t>
  </si>
  <si>
    <t>50-2008</t>
  </si>
  <si>
    <t>50-2050</t>
  </si>
  <si>
    <t>50-4100</t>
  </si>
  <si>
    <t>50-4110</t>
  </si>
  <si>
    <t>50-4120</t>
  </si>
  <si>
    <t>50-4130</t>
  </si>
  <si>
    <t>50-4140</t>
  </si>
  <si>
    <t>50-4150</t>
  </si>
  <si>
    <t>50-4160</t>
  </si>
  <si>
    <t>50-4170</t>
  </si>
  <si>
    <t>50-4180</t>
  </si>
  <si>
    <t>50-5100</t>
  </si>
  <si>
    <t>50-5110</t>
  </si>
  <si>
    <t>50-5120</t>
  </si>
  <si>
    <t>50-5130</t>
  </si>
  <si>
    <t>50-5140</t>
  </si>
  <si>
    <t>50-5150</t>
  </si>
  <si>
    <t>50-5160</t>
  </si>
  <si>
    <t>50-5170</t>
  </si>
  <si>
    <t>50-5180</t>
  </si>
  <si>
    <t>50-5190</t>
  </si>
  <si>
    <t>Company</t>
  </si>
  <si>
    <t>Company_Description</t>
  </si>
  <si>
    <t>Fiscal_Entity_Level</t>
  </si>
  <si>
    <t>Period_Ending_Date</t>
  </si>
  <si>
    <t>Period_Code</t>
  </si>
  <si>
    <t>Fiscal_Ending_Date</t>
  </si>
  <si>
    <t>10</t>
  </si>
  <si>
    <t>Timberline Construction, Inc</t>
  </si>
  <si>
    <t>21</t>
  </si>
  <si>
    <t>General Construction</t>
  </si>
  <si>
    <t>22</t>
  </si>
  <si>
    <t>Equipment Company</t>
  </si>
  <si>
    <t>50</t>
  </si>
  <si>
    <t>Joint Venture</t>
  </si>
  <si>
    <t>Totals</t>
  </si>
  <si>
    <t>Subtotal</t>
  </si>
  <si>
    <t>EQ Cost Adj</t>
  </si>
  <si>
    <t>Checksum</t>
  </si>
  <si>
    <t>TL Active Jobs ODBC</t>
  </si>
  <si>
    <t>WIP Journal Entry</t>
  </si>
  <si>
    <t>Unadjusted</t>
  </si>
  <si>
    <t>Balance</t>
  </si>
  <si>
    <t>WIP</t>
  </si>
  <si>
    <t>Entry</t>
  </si>
  <si>
    <t>Income Contra Account</t>
  </si>
  <si>
    <t>EQ Equip Adjust</t>
  </si>
  <si>
    <t>Job Cost Current Month</t>
  </si>
  <si>
    <t>GL Current Period</t>
  </si>
  <si>
    <t>In WIP</t>
  </si>
  <si>
    <t>EXPR_1</t>
  </si>
  <si>
    <t>EXPR_2</t>
  </si>
  <si>
    <t>EXPR_3</t>
  </si>
  <si>
    <t>EXPR_4</t>
  </si>
  <si>
    <t>EXPR_5</t>
  </si>
  <si>
    <t>EXPR_6</t>
  </si>
  <si>
    <t>EXPR_7</t>
  </si>
  <si>
    <t xml:space="preserve">1 </t>
  </si>
  <si>
    <t>TL Active Jobs GL Recap</t>
  </si>
  <si>
    <t>Month to</t>
  </si>
  <si>
    <t>Date</t>
  </si>
  <si>
    <t>Year to</t>
  </si>
  <si>
    <t>Per GL</t>
  </si>
  <si>
    <t>Per Jobs Schedule</t>
  </si>
  <si>
    <t>Job Cost Month</t>
  </si>
  <si>
    <t>GL Month</t>
  </si>
  <si>
    <t>Sage Construction Sample Data</t>
  </si>
  <si>
    <t>ODBC for WIP in MS Office</t>
  </si>
  <si>
    <t>Michael Suhovecky CPA</t>
  </si>
  <si>
    <t>Brier Hill Associates LLC</t>
  </si>
  <si>
    <t>Dublin, Ohio</t>
  </si>
  <si>
    <t>Instructor</t>
  </si>
  <si>
    <t>msuhovecky@brierhill.net</t>
  </si>
  <si>
    <t>2020 OnPoint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</si>
</sst>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mm/dd/yy;@"/>
    <numFmt numFmtId="165" formatCode="0_);\(0\)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scheme val="minor"/>
    </font>
    <font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72">
    <xf numFmtId="0" fontId="0" fillId="0" borderId="0" xfId="0"/>
    <xf numFmtId="7" fontId="1" fillId="0" borderId="0" xfId="0" applyNumberFormat="1" applyFont="1"/>
    <xf numFmtId="7" fontId="0" fillId="0" borderId="0" xfId="0" applyNumberFormat="1"/>
    <xf numFmtId="0" fontId="0" fillId="0" borderId="0" xfId="0" applyFont="1"/>
    <xf numFmtId="0" fontId="0" fillId="0" borderId="0" xfId="0" applyFont="1" applyAlignment="1">
      <alignment vertical="center"/>
    </xf>
    <xf numFmtId="0" fontId="0" fillId="2" borderId="0" xfId="0" applyFill="1"/>
    <xf numFmtId="7" fontId="19" fillId="0" borderId="0" xfId="0" applyNumberFormat="1" applyFont="1"/>
    <xf numFmtId="7" fontId="15" fillId="0" borderId="0" xfId="0" applyNumberFormat="1" applyFont="1"/>
    <xf numFmtId="7" fontId="22" fillId="0" borderId="0" xfId="0" applyNumberFormat="1" applyFont="1"/>
    <xf numFmtId="0" fontId="1" fillId="0" borderId="0" xfId="0" applyFont="1"/>
    <xf numFmtId="7" fontId="21" fillId="0" borderId="0" xfId="0" applyNumberFormat="1" applyFont="1"/>
    <xf numFmtId="7" fontId="20" fillId="0" borderId="0" xfId="0" applyNumberFormat="1" applyFont="1"/>
    <xf numFmtId="7" fontId="23" fillId="0" borderId="0" xfId="0" applyNumberFormat="1" applyFont="1"/>
    <xf numFmtId="0" fontId="20" fillId="0" borderId="0" xfId="0" applyFont="1"/>
    <xf numFmtId="0" fontId="19" fillId="0" borderId="0" xfId="0" applyFont="1"/>
    <xf numFmtId="7" fontId="0" fillId="0" borderId="10" xfId="0" applyNumberFormat="1" applyBorder="1"/>
    <xf numFmtId="7" fontId="0" fillId="0" borderId="11" xfId="0" applyNumberFormat="1" applyBorder="1"/>
    <xf numFmtId="7" fontId="1" fillId="0" borderId="0" xfId="0" applyNumberFormat="1" applyFont="1" applyAlignment="1">
      <alignment horizontal="center"/>
    </xf>
    <xf numFmtId="0" fontId="18" fillId="2" borderId="0" xfId="0" applyFont="1" applyFill="1"/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9" fontId="0" fillId="0" borderId="11" xfId="0" applyNumberFormat="1" applyBorder="1"/>
    <xf numFmtId="9" fontId="1" fillId="0" borderId="12" xfId="0" applyNumberFormat="1" applyFont="1" applyFill="1" applyBorder="1" applyAlignment="1">
      <alignment horizontal="center"/>
    </xf>
    <xf numFmtId="9" fontId="1" fillId="0" borderId="0" xfId="0" applyNumberFormat="1" applyFont="1" applyAlignment="1">
      <alignment horizontal="center"/>
    </xf>
    <xf numFmtId="9" fontId="1" fillId="0" borderId="12" xfId="0" applyNumberFormat="1" applyFont="1" applyBorder="1"/>
    <xf numFmtId="9" fontId="0" fillId="0" borderId="0" xfId="0" applyNumberFormat="1"/>
    <xf numFmtId="7" fontId="0" fillId="0" borderId="0" xfId="0" applyNumberFormat="1" applyBorder="1"/>
    <xf numFmtId="9" fontId="1" fillId="0" borderId="0" xfId="0" applyNumberFormat="1" applyFont="1" applyBorder="1"/>
    <xf numFmtId="7" fontId="1" fillId="0" borderId="12" xfId="0" applyNumberFormat="1" applyFont="1" applyBorder="1" applyAlignment="1">
      <alignment horizontal="center"/>
    </xf>
    <xf numFmtId="7" fontId="1" fillId="0" borderId="0" xfId="0" applyNumberFormat="1" applyFont="1" applyAlignment="1">
      <alignment horizontal="center"/>
    </xf>
    <xf numFmtId="7" fontId="0" fillId="2" borderId="0" xfId="0" applyNumberFormat="1" applyFill="1"/>
    <xf numFmtId="0" fontId="0" fillId="0" borderId="0" xfId="0"/>
    <xf numFmtId="14" fontId="0" fillId="0" borderId="0" xfId="0" applyNumberFormat="1"/>
    <xf numFmtId="7" fontId="24" fillId="0" borderId="0" xfId="0" applyNumberFormat="1" applyFont="1" applyAlignment="1"/>
    <xf numFmtId="7" fontId="0" fillId="0" borderId="13" xfId="0" applyNumberFormat="1" applyBorder="1"/>
    <xf numFmtId="7" fontId="0" fillId="34" borderId="0" xfId="0" applyNumberFormat="1" applyFill="1"/>
    <xf numFmtId="49" fontId="0" fillId="2" borderId="0" xfId="0" quotePrefix="1" applyNumberFormat="1" applyFill="1"/>
    <xf numFmtId="49" fontId="0" fillId="2" borderId="0" xfId="0" applyNumberFormat="1" applyFill="1"/>
    <xf numFmtId="49" fontId="0" fillId="34" borderId="0" xfId="0" applyNumberFormat="1" applyFill="1" applyAlignment="1">
      <alignment horizontal="left" indent="1"/>
    </xf>
    <xf numFmtId="49" fontId="0" fillId="0" borderId="0" xfId="0" applyNumberFormat="1" applyAlignment="1"/>
    <xf numFmtId="49" fontId="0" fillId="2" borderId="0" xfId="0" applyNumberFormat="1" applyFill="1" applyAlignment="1">
      <alignment horizontal="left" indent="1"/>
    </xf>
    <xf numFmtId="49" fontId="0" fillId="0" borderId="0" xfId="0" applyNumberFormat="1" applyAlignment="1">
      <alignment horizontal="left" indent="1"/>
    </xf>
    <xf numFmtId="0" fontId="0" fillId="0" borderId="0" xfId="0" applyBorder="1"/>
    <xf numFmtId="0" fontId="1" fillId="0" borderId="0" xfId="0" applyFont="1" applyBorder="1" applyAlignment="1">
      <alignment horizontal="center"/>
    </xf>
    <xf numFmtId="49" fontId="0" fillId="0" borderId="0" xfId="0" applyNumberFormat="1"/>
    <xf numFmtId="49" fontId="0" fillId="0" borderId="0" xfId="0" applyNumberFormat="1" applyBorder="1"/>
    <xf numFmtId="49" fontId="1" fillId="0" borderId="0" xfId="0" applyNumberFormat="1" applyFont="1" applyBorder="1" applyAlignment="1">
      <alignment horizontal="center"/>
    </xf>
    <xf numFmtId="7" fontId="0" fillId="34" borderId="13" xfId="0" applyNumberFormat="1" applyFill="1" applyBorder="1"/>
    <xf numFmtId="164" fontId="0" fillId="0" borderId="0" xfId="0" applyNumberFormat="1" applyAlignment="1">
      <alignment horizontal="right"/>
    </xf>
    <xf numFmtId="7" fontId="1" fillId="0" borderId="0" xfId="0" applyNumberFormat="1" applyFont="1" applyAlignment="1">
      <alignment horizontal="center"/>
    </xf>
    <xf numFmtId="7" fontId="1" fillId="0" borderId="0" xfId="0" applyNumberFormat="1" applyFont="1" applyAlignment="1">
      <alignment horizontal="center"/>
    </xf>
    <xf numFmtId="165" fontId="20" fillId="0" borderId="0" xfId="0" applyNumberFormat="1" applyFont="1"/>
    <xf numFmtId="165" fontId="19" fillId="0" borderId="0" xfId="0" applyNumberFormat="1" applyFont="1"/>
    <xf numFmtId="165" fontId="0" fillId="0" borderId="0" xfId="0" applyNumberFormat="1"/>
    <xf numFmtId="7" fontId="1" fillId="0" borderId="0" xfId="0" applyNumberFormat="1" applyFont="1" applyBorder="1" applyAlignment="1">
      <alignment horizontal="center"/>
    </xf>
    <xf numFmtId="165" fontId="0" fillId="0" borderId="0" xfId="0" applyNumberFormat="1" applyBorder="1"/>
    <xf numFmtId="0" fontId="0" fillId="0" borderId="0" xfId="0" applyFont="1" applyBorder="1"/>
    <xf numFmtId="7" fontId="0" fillId="0" borderId="0" xfId="0" applyNumberFormat="1" applyFont="1" applyBorder="1"/>
    <xf numFmtId="165" fontId="0" fillId="0" borderId="0" xfId="0" applyNumberFormat="1" applyFont="1" applyBorder="1"/>
    <xf numFmtId="7" fontId="1" fillId="0" borderId="0" xfId="0" applyNumberFormat="1" applyFont="1" applyBorder="1"/>
    <xf numFmtId="7" fontId="0" fillId="0" borderId="0" xfId="0" applyNumberFormat="1" applyFont="1" applyAlignment="1"/>
    <xf numFmtId="0" fontId="25" fillId="0" borderId="0" xfId="0" applyFont="1"/>
    <xf numFmtId="7" fontId="0" fillId="0" borderId="11" xfId="0" applyNumberFormat="1" applyFont="1" applyBorder="1"/>
    <xf numFmtId="49" fontId="0" fillId="0" borderId="0" xfId="0" applyNumberFormat="1" applyFont="1" applyAlignment="1">
      <alignment horizontal="left" indent="1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26" fillId="0" borderId="0" xfId="0" applyFont="1" applyBorder="1"/>
    <xf numFmtId="7" fontId="26" fillId="0" borderId="0" xfId="0" applyNumberFormat="1" applyFont="1" applyBorder="1"/>
    <xf numFmtId="165" fontId="26" fillId="0" borderId="0" xfId="0" applyNumberFormat="1" applyFont="1" applyBorder="1"/>
    <xf numFmtId="0" fontId="27" fillId="0" borderId="0" xfId="42"/>
    <xf numFmtId="0" fontId="0" fillId="0" borderId="0" xfId="0" applyAlignment="1">
      <alignment horizontal="left"/>
    </xf>
    <xf numFmtId="7" fontId="1" fillId="0" borderId="0" xfId="0" applyNumberFormat="1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0">
    <dxf>
      <numFmt numFmtId="19" formatCode="m/d/yyyy"/>
    </dxf>
    <dxf>
      <numFmt numFmtId="19" formatCode="m/d/yyyy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9" formatCode="m/d/yyyy"/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_);\(0\)"/>
      <border diagonalUp="0" diagonalDown="0" outline="0">
        <left/>
        <right/>
        <top/>
        <bottom/>
      </border>
    </dxf>
    <dxf>
      <numFmt numFmtId="165" formatCode="0_);\(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1" formatCode="&quot;$&quot;#,##0.00_);\(&quot;$&quot;#,##0.00\)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1" formatCode="&quot;$&quot;#,##0.00_);\(&quot;$&quot;#,##0.00\)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1" formatCode="&quot;$&quot;#,##0.00_);\(&quot;$&quot;#,##0.00\)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1" formatCode="&quot;$&quot;#,##0.00_);\(&quot;$&quot;#,##0.00\)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1" formatCode="&quot;$&quot;#,##0.00_);\(&quot;$&quot;#,##0.00\)"/>
      <border diagonalUp="0" diagonalDown="0" outline="0">
        <left/>
        <right/>
        <top/>
        <bottom/>
      </border>
    </dxf>
    <dxf>
      <numFmt numFmtId="11" formatCode="&quot;$&quot;#,##0.00_);\(&quot;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TL Construction Sample Data" connectionId="1" xr16:uid="{00000000-0016-0000-0300-000000000000}" autoFormatId="16" applyNumberFormats="0" applyBorderFormats="0" applyFontFormats="0" applyPatternFormats="0" applyAlignmentFormats="0" applyWidthHeightFormats="0">
  <queryTableRefresh nextId="29" unboundColumnsRight="1">
    <queryTableFields count="11">
      <queryTableField id="1" name="Job" tableColumnId="1"/>
      <queryTableField id="2" name="Description" tableColumnId="2"/>
      <queryTableField id="3" name="Status" tableColumnId="3"/>
      <queryTableField id="20" name="EXPR_1" tableColumnId="20"/>
      <queryTableField id="21" name="EXPR_2" tableColumnId="21"/>
      <queryTableField id="22" name="EXPR_3" tableColumnId="22"/>
      <queryTableField id="23" name="EXPR_4" tableColumnId="23"/>
      <queryTableField id="24" name="EXPR_5" tableColumnId="24"/>
      <queryTableField id="25" name="EXPR_6" tableColumnId="25"/>
      <queryTableField id="26" name="EXPR_7" tableColumnId="26"/>
      <queryTableField id="28" dataBound="0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TL Construction Sample Data" connectionId="4" xr16:uid="{00000000-0016-0000-0500-000001000000}" autoFormatId="16" applyNumberFormats="0" applyBorderFormats="0" applyFontFormats="0" applyPatternFormats="0" applyAlignmentFormats="0" applyWidthHeightFormats="0">
  <queryTableRefresh nextId="5">
    <queryTableFields count="4">
      <queryTableField id="1" name="Period_Size" tableColumnId="1"/>
      <queryTableField id="2" name="Week_End_Date" tableColumnId="2"/>
      <queryTableField id="3" name="Current_Month" tableColumnId="3"/>
      <queryTableField id="4" name="Fiscal_Year_End_Date" tableColumnId="4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TL Construction Sample Data" connectionId="2" xr16:uid="{00000000-0016-0000-0600-000002000000}" autoFormatId="16" applyNumberFormats="0" applyBorderFormats="0" applyFontFormats="0" applyPatternFormats="0" applyAlignmentFormats="0" applyWidthHeightFormats="0">
  <queryTableRefresh nextId="6">
    <queryTableFields count="5">
      <queryTableField id="1" name="Account" tableColumnId="1"/>
      <queryTableField id="2" name="Account_Title" tableColumnId="2"/>
      <queryTableField id="3" name="Current_Period_Activity" tableColumnId="3"/>
      <queryTableField id="4" name="Current_Balance" tableColumnId="4"/>
      <queryTableField id="5" name="End_Balance_1_Year_Ago" tableColumnId="5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TL Construction Sample Data_1" connectionId="3" xr16:uid="{00000000-0016-0000-0600-000003000000}" autoFormatId="16" applyNumberFormats="0" applyBorderFormats="0" applyFontFormats="0" applyPatternFormats="0" applyAlignmentFormats="0" applyWidthHeightFormats="0">
  <queryTableRefresh nextId="7">
    <queryTableFields count="6">
      <queryTableField id="1" name="Company" tableColumnId="1"/>
      <queryTableField id="2" name="Company_Description" tableColumnId="2"/>
      <queryTableField id="3" name="Fiscal_Entity_Level" tableColumnId="3"/>
      <queryTableField id="4" name="Period_Ending_Date" tableColumnId="4"/>
      <queryTableField id="5" name="Period_Code" tableColumnId="5"/>
      <queryTableField id="6" name="Fiscal_Ending_Date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ActiveJobs" displayName="ActiveJobs" ref="C6:M21" tableType="queryTable" totalsRowCount="1" headerRowDxfId="26">
  <autoFilter ref="C6:M20" xr:uid="{00000000-0009-0000-0100-000006000000}"/>
  <tableColumns count="11">
    <tableColumn id="1" xr3:uid="{00000000-0010-0000-0000-000001000000}" uniqueName="1" name="Job" queryTableFieldId="1" totalsRowDxfId="25"/>
    <tableColumn id="2" xr3:uid="{00000000-0010-0000-0000-000002000000}" uniqueName="2" name="Description" queryTableFieldId="2" totalsRowDxfId="24"/>
    <tableColumn id="3" xr3:uid="{00000000-0010-0000-0000-000003000000}" uniqueName="3" name="Status" totalsRowLabel="Totals" queryTableFieldId="3" totalsRowDxfId="23"/>
    <tableColumn id="20" xr3:uid="{00000000-0010-0000-0000-000014000000}" uniqueName="20" name="EXPR_1" totalsRowFunction="sum" queryTableFieldId="20" dataDxfId="22" totalsRowDxfId="21"/>
    <tableColumn id="21" xr3:uid="{00000000-0010-0000-0000-000015000000}" uniqueName="21" name="EXPR_2" totalsRowFunction="sum" queryTableFieldId="21" dataDxfId="20" totalsRowDxfId="19"/>
    <tableColumn id="22" xr3:uid="{00000000-0010-0000-0000-000016000000}" uniqueName="22" name="EXPR_3" totalsRowFunction="sum" queryTableFieldId="22" dataDxfId="18" totalsRowDxfId="17"/>
    <tableColumn id="23" xr3:uid="{00000000-0010-0000-0000-000017000000}" uniqueName="23" name="EXPR_4" totalsRowFunction="sum" queryTableFieldId="23" dataDxfId="16" totalsRowDxfId="15"/>
    <tableColumn id="24" xr3:uid="{00000000-0010-0000-0000-000018000000}" uniqueName="24" name="EXPR_5" totalsRowFunction="sum" queryTableFieldId="24" dataDxfId="14" totalsRowDxfId="13"/>
    <tableColumn id="25" xr3:uid="{00000000-0010-0000-0000-000019000000}" uniqueName="25" name="EXPR_6" totalsRowFunction="sum" queryTableFieldId="25" dataDxfId="12" totalsRowDxfId="11"/>
    <tableColumn id="26" xr3:uid="{00000000-0010-0000-0000-00001A000000}" uniqueName="26" name="EXPR_7" totalsRowFunction="sum" queryTableFieldId="26" dataDxfId="10" totalsRowDxfId="9"/>
    <tableColumn id="4" xr3:uid="{00000000-0010-0000-0000-000004000000}" uniqueName="4" name="1 " queryTableFieldId="28" dataDxfId="8" totalsRowDxfId="7">
      <calculatedColumnFormula>COUNTIF('WIP Schedule'!$C:$C,ActiveJobs[[#This Row],[Job]])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JobCostControls" displayName="JobCostControls" ref="D6:G7" tableType="queryTable" totalsRowShown="0">
  <autoFilter ref="D6:G7" xr:uid="{00000000-0009-0000-0100-000001000000}"/>
  <tableColumns count="4">
    <tableColumn id="1" xr3:uid="{00000000-0010-0000-0100-000001000000}" uniqueName="1" name="Period_Size" queryTableFieldId="1"/>
    <tableColumn id="2" xr3:uid="{00000000-0010-0000-0100-000002000000}" uniqueName="2" name="Week_End_Date" queryTableFieldId="2" dataDxfId="6"/>
    <tableColumn id="3" xr3:uid="{00000000-0010-0000-0100-000003000000}" uniqueName="3" name="Current_Month" queryTableFieldId="3"/>
    <tableColumn id="4" xr3:uid="{00000000-0010-0000-0100-000004000000}" uniqueName="4" name="Fiscal_Year_End_Date" queryTableFieldId="4" dataDxfId="5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GLAccounts" displayName="GLAccounts" ref="C6:G408" tableType="queryTable" totalsRowShown="0">
  <autoFilter ref="C6:G408" xr:uid="{00000000-0009-0000-0100-000002000000}"/>
  <tableColumns count="5">
    <tableColumn id="1" xr3:uid="{00000000-0010-0000-0200-000001000000}" uniqueName="1" name="Account" queryTableFieldId="1"/>
    <tableColumn id="2" xr3:uid="{00000000-0010-0000-0200-000002000000}" uniqueName="2" name="Account_Title" queryTableFieldId="2"/>
    <tableColumn id="3" xr3:uid="{00000000-0010-0000-0200-000003000000}" uniqueName="3" name="Current_Period_Activity" queryTableFieldId="3" dataDxfId="4"/>
    <tableColumn id="4" xr3:uid="{00000000-0010-0000-0200-000004000000}" uniqueName="4" name="Current_Balance" queryTableFieldId="4" dataDxfId="3"/>
    <tableColumn id="5" xr3:uid="{00000000-0010-0000-0200-000005000000}" uniqueName="5" name="End_Balance_1_Year_Ago" queryTableFieldId="5" dataDxfId="2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GLCompany" displayName="GLCompany" ref="I6:N10" tableType="queryTable" totalsRowShown="0">
  <autoFilter ref="I6:N10" xr:uid="{00000000-0009-0000-0100-000003000000}"/>
  <tableColumns count="6">
    <tableColumn id="1" xr3:uid="{00000000-0010-0000-0300-000001000000}" uniqueName="1" name="Company" queryTableFieldId="1"/>
    <tableColumn id="2" xr3:uid="{00000000-0010-0000-0300-000002000000}" uniqueName="2" name="Company_Description" queryTableFieldId="2"/>
    <tableColumn id="3" xr3:uid="{00000000-0010-0000-0300-000003000000}" uniqueName="3" name="Fiscal_Entity_Level" queryTableFieldId="3"/>
    <tableColumn id="4" xr3:uid="{00000000-0010-0000-0300-000004000000}" uniqueName="4" name="Period_Ending_Date" queryTableFieldId="4" dataDxfId="1"/>
    <tableColumn id="5" xr3:uid="{00000000-0010-0000-0300-000005000000}" uniqueName="5" name="Period_Code" queryTableFieldId="5"/>
    <tableColumn id="6" xr3:uid="{00000000-0010-0000-0300-000006000000}" uniqueName="6" name="Fiscal_Ending_Date" queryTableFieldId="6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suhovecky@brierhill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showGridLines="0" showZeros="0" tabSelected="1" workbookViewId="0">
      <selection activeCell="C5" sqref="C5"/>
    </sheetView>
  </sheetViews>
  <sheetFormatPr defaultRowHeight="15" x14ac:dyDescent="0.25"/>
  <cols>
    <col min="1" max="1" width="5" customWidth="1"/>
    <col min="2" max="2" width="31.140625" style="3" bestFit="1" customWidth="1"/>
    <col min="3" max="3" width="66.7109375" style="3" bestFit="1" customWidth="1"/>
    <col min="4" max="19" width="5" customWidth="1"/>
    <col min="20" max="20" width="5.7109375" bestFit="1" customWidth="1"/>
    <col min="21" max="21" width="6.7109375" bestFit="1" customWidth="1"/>
    <col min="22" max="22" width="7.5703125" bestFit="1" customWidth="1"/>
    <col min="23" max="23" width="12.5703125" bestFit="1" customWidth="1"/>
    <col min="24" max="24" width="33.140625" bestFit="1" customWidth="1"/>
    <col min="25" max="25" width="11.85546875" bestFit="1" customWidth="1"/>
    <col min="27" max="27" width="6.7109375" bestFit="1" customWidth="1"/>
    <col min="28" max="28" width="20" bestFit="1" customWidth="1"/>
    <col min="30" max="30" width="18.28515625" bestFit="1" customWidth="1"/>
    <col min="31" max="31" width="42.42578125" bestFit="1" customWidth="1"/>
  </cols>
  <sheetData>
    <row r="2" spans="2:3" s="31" customFormat="1" x14ac:dyDescent="0.25">
      <c r="B2" s="9" t="s">
        <v>44</v>
      </c>
      <c r="C2" s="3"/>
    </row>
    <row r="3" spans="2:3" s="31" customFormat="1" x14ac:dyDescent="0.25">
      <c r="B3" s="9" t="s">
        <v>58</v>
      </c>
      <c r="C3" s="3"/>
    </row>
    <row r="4" spans="2:3" s="31" customFormat="1" x14ac:dyDescent="0.25">
      <c r="B4" s="3"/>
      <c r="C4" s="3"/>
    </row>
    <row r="5" spans="2:3" x14ac:dyDescent="0.25">
      <c r="B5" s="3" t="s">
        <v>15</v>
      </c>
      <c r="C5" s="3" t="s">
        <v>664</v>
      </c>
    </row>
    <row r="6" spans="2:3" x14ac:dyDescent="0.25">
      <c r="B6" s="3" t="s">
        <v>14</v>
      </c>
      <c r="C6" s="3" t="s">
        <v>658</v>
      </c>
    </row>
    <row r="7" spans="2:3" s="31" customFormat="1" x14ac:dyDescent="0.25">
      <c r="B7" s="3" t="s">
        <v>662</v>
      </c>
      <c r="C7" s="3" t="s">
        <v>659</v>
      </c>
    </row>
    <row r="8" spans="2:3" s="31" customFormat="1" x14ac:dyDescent="0.25">
      <c r="B8" s="3"/>
      <c r="C8" s="3" t="s">
        <v>660</v>
      </c>
    </row>
    <row r="9" spans="2:3" s="31" customFormat="1" x14ac:dyDescent="0.25">
      <c r="B9" s="3"/>
      <c r="C9" s="3" t="s">
        <v>661</v>
      </c>
    </row>
    <row r="10" spans="2:3" s="31" customFormat="1" x14ac:dyDescent="0.25">
      <c r="B10" s="3"/>
      <c r="C10" s="69" t="s">
        <v>663</v>
      </c>
    </row>
    <row r="12" spans="2:3" x14ac:dyDescent="0.25">
      <c r="B12" s="70" t="s">
        <v>16</v>
      </c>
      <c r="C12" s="70"/>
    </row>
    <row r="14" spans="2:3" x14ac:dyDescent="0.25">
      <c r="B14" s="3" t="s">
        <v>13</v>
      </c>
      <c r="C14" s="4" t="s">
        <v>657</v>
      </c>
    </row>
    <row r="15" spans="2:3" x14ac:dyDescent="0.25">
      <c r="B15" s="4" t="s">
        <v>4</v>
      </c>
      <c r="C15" s="4" t="s">
        <v>11</v>
      </c>
    </row>
    <row r="16" spans="2:3" x14ac:dyDescent="0.25">
      <c r="B16" s="4" t="s">
        <v>5</v>
      </c>
      <c r="C16" s="4" t="s">
        <v>12</v>
      </c>
    </row>
    <row r="17" spans="2:3" x14ac:dyDescent="0.25">
      <c r="B17" s="4" t="s">
        <v>6</v>
      </c>
      <c r="C17" s="4" t="s">
        <v>7</v>
      </c>
    </row>
    <row r="18" spans="2:3" x14ac:dyDescent="0.25">
      <c r="B18" s="4" t="s">
        <v>8</v>
      </c>
      <c r="C18" s="4" t="s">
        <v>9</v>
      </c>
    </row>
    <row r="19" spans="2:3" x14ac:dyDescent="0.25">
      <c r="B19" s="4" t="s">
        <v>10</v>
      </c>
      <c r="C19" s="4" t="s">
        <v>9</v>
      </c>
    </row>
  </sheetData>
  <mergeCells count="1">
    <mergeCell ref="B12:C12"/>
  </mergeCells>
  <hyperlinks>
    <hyperlink ref="C10" r:id="rId1" xr:uid="{6A116130-E275-489B-967E-F210059766D5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O23"/>
  <sheetViews>
    <sheetView showGridLines="0" showZeros="0" zoomScale="90" zoomScaleNormal="90" workbookViewId="0">
      <selection activeCell="D24" sqref="D24"/>
    </sheetView>
  </sheetViews>
  <sheetFormatPr defaultRowHeight="15" x14ac:dyDescent="0.25"/>
  <cols>
    <col min="1" max="2" width="5" customWidth="1"/>
    <col min="3" max="3" width="7.28515625" bestFit="1" customWidth="1"/>
    <col min="4" max="4" width="26.7109375" bestFit="1" customWidth="1"/>
    <col min="5" max="5" width="11" style="31" bestFit="1" customWidth="1"/>
    <col min="6" max="6" width="14.28515625" style="2" bestFit="1" customWidth="1"/>
    <col min="7" max="7" width="14.28515625" bestFit="1" customWidth="1"/>
    <col min="8" max="8" width="12.7109375" bestFit="1" customWidth="1"/>
    <col min="9" max="9" width="8" style="25" bestFit="1" customWidth="1"/>
    <col min="10" max="10" width="5" customWidth="1"/>
    <col min="11" max="11" width="14.28515625" bestFit="1" customWidth="1"/>
    <col min="12" max="12" width="6.140625" style="25" bestFit="1" customWidth="1"/>
    <col min="13" max="14" width="14.28515625" style="2" bestFit="1" customWidth="1"/>
    <col min="15" max="15" width="11.5703125" style="2" bestFit="1" customWidth="1"/>
    <col min="16" max="16" width="12.7109375" style="2" bestFit="1" customWidth="1"/>
    <col min="17" max="17" width="5" customWidth="1"/>
    <col min="18" max="18" width="14.28515625" style="2" bestFit="1" customWidth="1"/>
    <col min="19" max="19" width="15" style="2" bestFit="1" customWidth="1"/>
    <col min="20" max="20" width="12.7109375" style="2" bestFit="1" customWidth="1"/>
    <col min="21" max="21" width="8" style="2" bestFit="1" customWidth="1"/>
    <col min="22" max="22" width="4.42578125" customWidth="1"/>
    <col min="23" max="23" width="12.7109375" style="2" bestFit="1" customWidth="1"/>
    <col min="24" max="24" width="13.28515625" style="2" bestFit="1" customWidth="1"/>
    <col min="25" max="25" width="11.5703125" style="2" bestFit="1" customWidth="1"/>
    <col min="26" max="26" width="8" style="25" bestFit="1" customWidth="1"/>
    <col min="27" max="27" width="4.7109375" customWidth="1"/>
    <col min="28" max="28" width="12.7109375" style="2" bestFit="1" customWidth="1"/>
    <col min="29" max="29" width="13.28515625" style="2" bestFit="1" customWidth="1"/>
    <col min="30" max="30" width="12.140625" style="2" bestFit="1" customWidth="1"/>
    <col min="31" max="31" width="8" bestFit="1" customWidth="1"/>
    <col min="32" max="32" width="3.5703125" customWidth="1"/>
    <col min="33" max="33" width="11.5703125" style="2" bestFit="1" customWidth="1"/>
    <col min="34" max="34" width="7.5703125" style="2" bestFit="1" customWidth="1"/>
    <col min="35" max="35" width="11.5703125" style="2" bestFit="1" customWidth="1"/>
    <col min="36" max="36" width="8" style="25" bestFit="1" customWidth="1"/>
    <col min="37" max="37" width="2.85546875" style="31" customWidth="1"/>
    <col min="38" max="38" width="14.28515625" style="2" bestFit="1" customWidth="1"/>
    <col min="39" max="39" width="15" style="2" bestFit="1" customWidth="1"/>
    <col min="40" max="40" width="12.7109375" style="2" bestFit="1" customWidth="1"/>
    <col min="41" max="41" width="8" style="31" bestFit="1" customWidth="1"/>
  </cols>
  <sheetData>
    <row r="2" spans="2:41" x14ac:dyDescent="0.25">
      <c r="B2" s="9" t="str">
        <f>'Setup Instructions'!B2</f>
        <v>Timberline Construction</v>
      </c>
    </row>
    <row r="3" spans="2:41" x14ac:dyDescent="0.25">
      <c r="B3" s="9" t="str">
        <f>'Setup Instructions'!B3</f>
        <v>Sample Month End WIP Schedule</v>
      </c>
    </row>
    <row r="4" spans="2:41" x14ac:dyDescent="0.25">
      <c r="B4" s="9" t="str">
        <f>"Month Ending "&amp;TEXT(CurrentPeriod, "MMMM dd yyyy")</f>
        <v>Month Ending May 31 2015</v>
      </c>
      <c r="C4" s="31"/>
      <c r="D4" s="31"/>
    </row>
    <row r="5" spans="2:41" s="31" customFormat="1" x14ac:dyDescent="0.25">
      <c r="C5" s="20"/>
      <c r="D5" s="20"/>
      <c r="E5" s="20"/>
      <c r="F5" s="49"/>
      <c r="I5" s="25"/>
      <c r="L5" s="25"/>
      <c r="M5" s="2"/>
      <c r="N5" s="2"/>
      <c r="O5" s="2"/>
      <c r="P5" s="2"/>
      <c r="R5" s="71" t="str">
        <f>"Job to Date Through "&amp;TEXT(CurrentPeriod,"mmmm dd yyyy")</f>
        <v>Job to Date Through May 31 2015</v>
      </c>
      <c r="S5" s="71"/>
      <c r="T5" s="71"/>
      <c r="U5" s="71"/>
      <c r="W5" s="71" t="s">
        <v>72</v>
      </c>
      <c r="X5" s="71"/>
      <c r="Y5" s="71"/>
      <c r="Z5" s="71"/>
      <c r="AB5" s="71" t="s">
        <v>73</v>
      </c>
      <c r="AC5" s="71"/>
      <c r="AD5" s="71"/>
      <c r="AE5" s="71"/>
      <c r="AG5" s="71" t="s">
        <v>74</v>
      </c>
      <c r="AH5" s="71"/>
      <c r="AI5" s="71"/>
      <c r="AJ5" s="71"/>
      <c r="AL5" s="71" t="s">
        <v>75</v>
      </c>
      <c r="AM5" s="71"/>
      <c r="AN5" s="71"/>
      <c r="AO5" s="71"/>
    </row>
    <row r="6" spans="2:41" x14ac:dyDescent="0.25">
      <c r="C6" s="20"/>
      <c r="D6" s="20"/>
      <c r="E6" s="20"/>
      <c r="F6" s="49" t="s">
        <v>60</v>
      </c>
      <c r="G6" s="20" t="s">
        <v>61</v>
      </c>
      <c r="H6" s="20" t="s">
        <v>61</v>
      </c>
      <c r="I6" s="23" t="s">
        <v>63</v>
      </c>
      <c r="K6" s="17" t="s">
        <v>65</v>
      </c>
      <c r="L6" s="27" t="s">
        <v>67</v>
      </c>
      <c r="M6" s="17" t="s">
        <v>69</v>
      </c>
      <c r="N6" s="17" t="s">
        <v>49</v>
      </c>
      <c r="O6" s="17" t="s">
        <v>70</v>
      </c>
      <c r="P6" s="17" t="s">
        <v>71</v>
      </c>
      <c r="R6" s="17" t="s">
        <v>69</v>
      </c>
      <c r="S6" s="17" t="s">
        <v>51</v>
      </c>
      <c r="T6" s="17" t="s">
        <v>62</v>
      </c>
      <c r="U6" s="23" t="s">
        <v>63</v>
      </c>
      <c r="W6" s="17" t="s">
        <v>69</v>
      </c>
      <c r="X6" s="17" t="s">
        <v>51</v>
      </c>
      <c r="Y6" s="17" t="s">
        <v>62</v>
      </c>
      <c r="Z6" s="23" t="s">
        <v>63</v>
      </c>
      <c r="AB6" s="17" t="s">
        <v>69</v>
      </c>
      <c r="AC6" s="17" t="s">
        <v>51</v>
      </c>
      <c r="AD6" s="17" t="s">
        <v>62</v>
      </c>
      <c r="AE6" s="23" t="s">
        <v>63</v>
      </c>
      <c r="AG6" s="17" t="s">
        <v>69</v>
      </c>
      <c r="AH6" s="17" t="s">
        <v>51</v>
      </c>
      <c r="AI6" s="17" t="s">
        <v>62</v>
      </c>
      <c r="AJ6" s="23" t="s">
        <v>63</v>
      </c>
      <c r="AL6" s="17" t="s">
        <v>69</v>
      </c>
      <c r="AM6" s="17" t="s">
        <v>51</v>
      </c>
      <c r="AN6" s="17" t="s">
        <v>62</v>
      </c>
      <c r="AO6" s="23" t="s">
        <v>63</v>
      </c>
    </row>
    <row r="7" spans="2:41" x14ac:dyDescent="0.25">
      <c r="C7" s="19" t="s">
        <v>0</v>
      </c>
      <c r="D7" s="19" t="s">
        <v>59</v>
      </c>
      <c r="E7" s="19" t="s">
        <v>45</v>
      </c>
      <c r="F7" s="28" t="s">
        <v>48</v>
      </c>
      <c r="G7" s="19" t="s">
        <v>51</v>
      </c>
      <c r="H7" s="19" t="s">
        <v>62</v>
      </c>
      <c r="I7" s="22" t="s">
        <v>64</v>
      </c>
      <c r="K7" s="28" t="s">
        <v>66</v>
      </c>
      <c r="L7" s="24" t="s">
        <v>68</v>
      </c>
      <c r="M7" s="28" t="s">
        <v>66</v>
      </c>
      <c r="N7" s="28" t="s">
        <v>66</v>
      </c>
      <c r="O7" s="28" t="s">
        <v>50</v>
      </c>
      <c r="P7" s="28" t="s">
        <v>50</v>
      </c>
      <c r="R7" s="28" t="s">
        <v>66</v>
      </c>
      <c r="S7" s="28" t="s">
        <v>66</v>
      </c>
      <c r="T7" s="28" t="s">
        <v>66</v>
      </c>
      <c r="U7" s="22" t="s">
        <v>64</v>
      </c>
      <c r="W7" s="28" t="s">
        <v>66</v>
      </c>
      <c r="X7" s="28" t="s">
        <v>66</v>
      </c>
      <c r="Y7" s="28" t="s">
        <v>66</v>
      </c>
      <c r="Z7" s="22" t="s">
        <v>64</v>
      </c>
      <c r="AB7" s="28" t="s">
        <v>66</v>
      </c>
      <c r="AC7" s="28" t="s">
        <v>66</v>
      </c>
      <c r="AD7" s="28" t="s">
        <v>66</v>
      </c>
      <c r="AE7" s="22" t="s">
        <v>64</v>
      </c>
      <c r="AG7" s="28" t="s">
        <v>66</v>
      </c>
      <c r="AH7" s="28" t="s">
        <v>66</v>
      </c>
      <c r="AI7" s="28" t="s">
        <v>66</v>
      </c>
      <c r="AJ7" s="22" t="s">
        <v>64</v>
      </c>
      <c r="AL7" s="28" t="s">
        <v>66</v>
      </c>
      <c r="AM7" s="28" t="s">
        <v>66</v>
      </c>
      <c r="AN7" s="28" t="s">
        <v>66</v>
      </c>
      <c r="AO7" s="22" t="s">
        <v>64</v>
      </c>
    </row>
    <row r="8" spans="2:41" x14ac:dyDescent="0.25">
      <c r="C8" s="18" t="s">
        <v>1</v>
      </c>
      <c r="D8" t="str">
        <f>VLOOKUP($C8,ActiveJobs[],2,FALSE)</f>
        <v>NW Food Warehouse</v>
      </c>
      <c r="E8" s="31" t="str">
        <f>VLOOKUP($C8,ActiveJobs[],3,FALSE)</f>
        <v>In progress</v>
      </c>
      <c r="F8" s="2">
        <f>VLOOKUP($C8,ActiveJobs[],4,FALSE)</f>
        <v>2640695</v>
      </c>
      <c r="G8" s="30">
        <v>2341200.38</v>
      </c>
      <c r="H8" s="2">
        <f t="shared" ref="H8:H13" si="0">ROUND(F8-G8,2)</f>
        <v>299494.62</v>
      </c>
      <c r="I8" s="25">
        <f t="shared" ref="I8:I13" si="1">IF(AND(H8&lt;&gt;0,F8&lt;&gt;0),ROUND(H8/F8,2),0)</f>
        <v>0.11</v>
      </c>
      <c r="K8" s="2">
        <f>VLOOKUP($C8,ActiveJobs[],6,FALSE)</f>
        <v>757152.25</v>
      </c>
      <c r="L8" s="25">
        <f t="shared" ref="L8:L13" si="2">IF(AND(K8&lt;&gt;0,G8&lt;&gt;0),ROUND(K8/G8,2),0)</f>
        <v>0.32</v>
      </c>
      <c r="M8" s="2">
        <f t="shared" ref="M8:M13" si="3">ROUND(F8*L8,2)</f>
        <v>845022.4</v>
      </c>
      <c r="N8" s="2">
        <f>VLOOKUP($C8,ActiveJobs[],5,FALSE)</f>
        <v>885800</v>
      </c>
      <c r="O8" s="2">
        <f>IF(N8&gt;M8,N8-M8,0)</f>
        <v>40777.599999999977</v>
      </c>
      <c r="P8" s="2">
        <f>IF(N8&lt;M8,M8-N8,0)</f>
        <v>0</v>
      </c>
      <c r="R8" s="2">
        <f>M8</f>
        <v>845022.4</v>
      </c>
      <c r="S8" s="2">
        <f>-K8</f>
        <v>-757152.25</v>
      </c>
      <c r="T8" s="2">
        <f>SUM(R8:S8)</f>
        <v>87870.150000000023</v>
      </c>
      <c r="U8" s="25">
        <f t="shared" ref="U8:U22" si="4">IF(AND(T8&lt;&gt;0,R8&lt;&gt;0),ROUND(T8/R8,2),0)</f>
        <v>0.1</v>
      </c>
      <c r="W8" s="30">
        <v>715116.16</v>
      </c>
      <c r="X8" s="30">
        <v>-634011.21</v>
      </c>
      <c r="Y8" s="2">
        <f>SUM(W8:X8)</f>
        <v>81104.95000000007</v>
      </c>
      <c r="Z8" s="25">
        <f t="shared" ref="Z8:Z22" si="5">IF(AND(Y8&lt;&gt;0,W8&lt;&gt;0),ROUND(Y8/W8,2),0)</f>
        <v>0.11</v>
      </c>
      <c r="AB8" s="2">
        <f>ROUND(R8-W8,2)</f>
        <v>129906.24000000001</v>
      </c>
      <c r="AC8" s="2">
        <f>ROUND(S8-X8,2)</f>
        <v>-123141.04</v>
      </c>
      <c r="AD8" s="2">
        <f>SUM(AB8:AC8)</f>
        <v>6765.2000000000116</v>
      </c>
      <c r="AE8" s="25">
        <f t="shared" ref="AE8:AE22" si="6">IF(AND(AD8&lt;&gt;0,AB8&lt;&gt;0),ROUND(AD8/AB8,2),0)</f>
        <v>0.05</v>
      </c>
      <c r="AG8" s="30">
        <v>15322.44</v>
      </c>
      <c r="AH8" s="30"/>
      <c r="AI8" s="2">
        <f>SUM(AG8:AH8)</f>
        <v>15322.44</v>
      </c>
      <c r="AJ8" s="25">
        <f t="shared" ref="AJ8:AJ22" si="7">IF(AND(AI8&lt;&gt;0,AG8&lt;&gt;0),ROUND(AI8/AG8,2),0)</f>
        <v>1</v>
      </c>
      <c r="AL8" s="2">
        <f>ROUND(R8-AG8,2)</f>
        <v>829699.96</v>
      </c>
      <c r="AM8" s="2">
        <f>ROUND(S8-AH8,2)</f>
        <v>-757152.25</v>
      </c>
      <c r="AN8" s="2">
        <f>SUM(AL8:AM8)</f>
        <v>72547.709999999963</v>
      </c>
      <c r="AO8" s="25">
        <f t="shared" ref="AO8:AO22" si="8">IF(AND(AN8&lt;&gt;0,AL8&lt;&gt;0),ROUND(AN8/AL8,2),0)</f>
        <v>0.09</v>
      </c>
    </row>
    <row r="9" spans="2:41" s="31" customFormat="1" x14ac:dyDescent="0.25">
      <c r="C9" s="18" t="s">
        <v>18</v>
      </c>
      <c r="D9" s="31" t="str">
        <f>VLOOKUP($C9,ActiveJobs[],2,FALSE)</f>
        <v>Clackamas Office Park #4</v>
      </c>
      <c r="E9" s="31" t="str">
        <f>VLOOKUP($C9,ActiveJobs[],3,FALSE)</f>
        <v>In progress</v>
      </c>
      <c r="F9" s="2">
        <f>VLOOKUP($C9,ActiveJobs[],4,FALSE)</f>
        <v>897210.2</v>
      </c>
      <c r="G9" s="30">
        <v>827931.61</v>
      </c>
      <c r="H9" s="2">
        <f t="shared" si="0"/>
        <v>69278.59</v>
      </c>
      <c r="I9" s="25">
        <f t="shared" si="1"/>
        <v>0.08</v>
      </c>
      <c r="K9" s="2">
        <f>VLOOKUP($C9,ActiveJobs[],6,FALSE)</f>
        <v>170558.04</v>
      </c>
      <c r="L9" s="25">
        <f t="shared" si="2"/>
        <v>0.21</v>
      </c>
      <c r="M9" s="2">
        <f t="shared" si="3"/>
        <v>188414.14</v>
      </c>
      <c r="N9" s="2">
        <f>VLOOKUP($C9,ActiveJobs[],5,FALSE)</f>
        <v>122000</v>
      </c>
      <c r="O9" s="2">
        <f>IF(N9&gt;M9,N9-M9,0)</f>
        <v>0</v>
      </c>
      <c r="P9" s="2">
        <f>IF(N9&lt;M9,M9-N9,0)</f>
        <v>66414.140000000014</v>
      </c>
      <c r="R9" s="2">
        <f t="shared" ref="R9:R21" si="9">M9</f>
        <v>188414.14</v>
      </c>
      <c r="S9" s="2">
        <f t="shared" ref="S9:S21" si="10">-K9</f>
        <v>-170558.04</v>
      </c>
      <c r="T9" s="2">
        <f t="shared" ref="T9:T21" si="11">SUM(R9:S9)</f>
        <v>17856.100000000006</v>
      </c>
      <c r="U9" s="25">
        <f t="shared" si="4"/>
        <v>0.09</v>
      </c>
      <c r="W9" s="30">
        <v>136773.16</v>
      </c>
      <c r="X9" s="30">
        <v>-126212.14000000001</v>
      </c>
      <c r="Y9" s="2">
        <f t="shared" ref="Y9:Y21" si="12">SUM(W9:X9)</f>
        <v>10561.01999999999</v>
      </c>
      <c r="Z9" s="25">
        <f t="shared" si="5"/>
        <v>0.08</v>
      </c>
      <c r="AB9" s="2">
        <f t="shared" ref="AB9:AB21" si="13">ROUND(R9-W9,2)</f>
        <v>51640.98</v>
      </c>
      <c r="AC9" s="2">
        <f t="shared" ref="AC9:AC21" si="14">ROUND(S9-X9,2)</f>
        <v>-44345.9</v>
      </c>
      <c r="AD9" s="2">
        <f t="shared" ref="AD9:AD21" si="15">SUM(AB9:AC9)</f>
        <v>7295.0800000000017</v>
      </c>
      <c r="AE9" s="25">
        <f t="shared" si="6"/>
        <v>0.14000000000000001</v>
      </c>
      <c r="AG9" s="30"/>
      <c r="AH9" s="30"/>
      <c r="AI9" s="2">
        <f t="shared" ref="AI9:AI21" si="16">SUM(AG9:AH9)</f>
        <v>0</v>
      </c>
      <c r="AJ9" s="25">
        <f t="shared" si="7"/>
        <v>0</v>
      </c>
      <c r="AL9" s="2">
        <f t="shared" ref="AL9:AL21" si="17">ROUND(R9-AG9,2)</f>
        <v>188414.14</v>
      </c>
      <c r="AM9" s="2">
        <f t="shared" ref="AM9:AM21" si="18">ROUND(S9-AH9,2)</f>
        <v>-170558.04</v>
      </c>
      <c r="AN9" s="2">
        <f t="shared" ref="AN9:AN21" si="19">SUM(AL9:AM9)</f>
        <v>17856.100000000006</v>
      </c>
      <c r="AO9" s="25">
        <f t="shared" si="8"/>
        <v>0.09</v>
      </c>
    </row>
    <row r="10" spans="2:41" s="31" customFormat="1" x14ac:dyDescent="0.25">
      <c r="C10" s="18" t="s">
        <v>19</v>
      </c>
      <c r="D10" s="31" t="str">
        <f>VLOOKUP($C10,ActiveJobs[],2,FALSE)</f>
        <v>Fort Wayne Officer's Club</v>
      </c>
      <c r="E10" s="31" t="str">
        <f>VLOOKUP($C10,ActiveJobs[],3,FALSE)</f>
        <v>In progress</v>
      </c>
      <c r="F10" s="2">
        <f>VLOOKUP($C10,ActiveJobs[],4,FALSE)</f>
        <v>479300</v>
      </c>
      <c r="G10" s="30">
        <v>442347.39</v>
      </c>
      <c r="H10" s="2">
        <f t="shared" si="0"/>
        <v>36952.61</v>
      </c>
      <c r="I10" s="25">
        <f t="shared" si="1"/>
        <v>0.08</v>
      </c>
      <c r="K10" s="2">
        <f>VLOOKUP($C10,ActiveJobs[],6,FALSE)</f>
        <v>148440.09</v>
      </c>
      <c r="L10" s="25">
        <f t="shared" si="2"/>
        <v>0.34</v>
      </c>
      <c r="M10" s="2">
        <f t="shared" si="3"/>
        <v>162962</v>
      </c>
      <c r="N10" s="2">
        <f>VLOOKUP($C10,ActiveJobs[],5,FALSE)</f>
        <v>41425</v>
      </c>
      <c r="O10" s="2">
        <f t="shared" ref="O10:O21" si="20">IF(N10&gt;M10,N10-M10,0)</f>
        <v>0</v>
      </c>
      <c r="P10" s="2">
        <f t="shared" ref="P10:P21" si="21">IF(N10&lt;M10,M10-N10,0)</f>
        <v>121537</v>
      </c>
      <c r="R10" s="2">
        <f t="shared" si="9"/>
        <v>162962</v>
      </c>
      <c r="S10" s="2">
        <f t="shared" si="10"/>
        <v>-148440.09</v>
      </c>
      <c r="T10" s="2">
        <f t="shared" si="11"/>
        <v>14521.910000000003</v>
      </c>
      <c r="U10" s="25">
        <f t="shared" si="4"/>
        <v>0.09</v>
      </c>
      <c r="W10" s="30">
        <v>17137.32</v>
      </c>
      <c r="X10" s="30">
        <v>-15816.079999999987</v>
      </c>
      <c r="Y10" s="2">
        <f t="shared" si="12"/>
        <v>1321.2400000000125</v>
      </c>
      <c r="Z10" s="25">
        <f t="shared" si="5"/>
        <v>0.08</v>
      </c>
      <c r="AB10" s="2">
        <f t="shared" si="13"/>
        <v>145824.68</v>
      </c>
      <c r="AC10" s="2">
        <f t="shared" si="14"/>
        <v>-132624.01</v>
      </c>
      <c r="AD10" s="2">
        <f t="shared" si="15"/>
        <v>13200.669999999984</v>
      </c>
      <c r="AE10" s="25">
        <f t="shared" si="6"/>
        <v>0.09</v>
      </c>
      <c r="AG10" s="30"/>
      <c r="AH10" s="30"/>
      <c r="AI10" s="2">
        <f t="shared" si="16"/>
        <v>0</v>
      </c>
      <c r="AJ10" s="25">
        <f t="shared" si="7"/>
        <v>0</v>
      </c>
      <c r="AL10" s="2">
        <f t="shared" si="17"/>
        <v>162962</v>
      </c>
      <c r="AM10" s="2">
        <f t="shared" si="18"/>
        <v>-148440.09</v>
      </c>
      <c r="AN10" s="2">
        <f t="shared" si="19"/>
        <v>14521.910000000003</v>
      </c>
      <c r="AO10" s="25">
        <f t="shared" si="8"/>
        <v>0.09</v>
      </c>
    </row>
    <row r="11" spans="2:41" s="31" customFormat="1" x14ac:dyDescent="0.25">
      <c r="C11" s="18" t="s">
        <v>20</v>
      </c>
      <c r="D11" s="31" t="str">
        <f>VLOOKUP($C11,ActiveJobs[],2,FALSE)</f>
        <v>Metro Bus Stop 47</v>
      </c>
      <c r="E11" s="31" t="str">
        <f>VLOOKUP($C11,ActiveJobs[],3,FALSE)</f>
        <v>Unstarted</v>
      </c>
      <c r="F11" s="2">
        <f>VLOOKUP($C11,ActiveJobs[],4,FALSE)</f>
        <v>18000</v>
      </c>
      <c r="G11" s="30">
        <v>14315</v>
      </c>
      <c r="H11" s="2">
        <f t="shared" si="0"/>
        <v>3685</v>
      </c>
      <c r="I11" s="25">
        <f t="shared" si="1"/>
        <v>0.2</v>
      </c>
      <c r="K11" s="2">
        <f>VLOOKUP($C11,ActiveJobs[],6,FALSE)</f>
        <v>0</v>
      </c>
      <c r="L11" s="25">
        <f t="shared" si="2"/>
        <v>0</v>
      </c>
      <c r="M11" s="2">
        <f t="shared" si="3"/>
        <v>0</v>
      </c>
      <c r="N11" s="2">
        <f>VLOOKUP($C11,ActiveJobs[],5,FALSE)</f>
        <v>0</v>
      </c>
      <c r="O11" s="2">
        <f t="shared" si="20"/>
        <v>0</v>
      </c>
      <c r="P11" s="2">
        <f t="shared" si="21"/>
        <v>0</v>
      </c>
      <c r="R11" s="2">
        <f t="shared" si="9"/>
        <v>0</v>
      </c>
      <c r="S11" s="2">
        <f t="shared" si="10"/>
        <v>0</v>
      </c>
      <c r="T11" s="2">
        <f t="shared" si="11"/>
        <v>0</v>
      </c>
      <c r="U11" s="25">
        <f t="shared" si="4"/>
        <v>0</v>
      </c>
      <c r="W11" s="30">
        <v>0</v>
      </c>
      <c r="X11" s="30">
        <v>0</v>
      </c>
      <c r="Y11" s="2">
        <f t="shared" si="12"/>
        <v>0</v>
      </c>
      <c r="Z11" s="25">
        <f t="shared" si="5"/>
        <v>0</v>
      </c>
      <c r="AB11" s="2">
        <f t="shared" si="13"/>
        <v>0</v>
      </c>
      <c r="AC11" s="2">
        <f t="shared" si="14"/>
        <v>0</v>
      </c>
      <c r="AD11" s="2">
        <f t="shared" si="15"/>
        <v>0</v>
      </c>
      <c r="AE11" s="25">
        <f t="shared" si="6"/>
        <v>0</v>
      </c>
      <c r="AG11" s="30"/>
      <c r="AH11" s="30"/>
      <c r="AI11" s="2">
        <f t="shared" si="16"/>
        <v>0</v>
      </c>
      <c r="AJ11" s="25">
        <f t="shared" si="7"/>
        <v>0</v>
      </c>
      <c r="AL11" s="2">
        <f t="shared" si="17"/>
        <v>0</v>
      </c>
      <c r="AM11" s="2">
        <f t="shared" si="18"/>
        <v>0</v>
      </c>
      <c r="AN11" s="2">
        <f t="shared" si="19"/>
        <v>0</v>
      </c>
      <c r="AO11" s="25">
        <f t="shared" si="8"/>
        <v>0</v>
      </c>
    </row>
    <row r="12" spans="2:41" s="31" customFormat="1" x14ac:dyDescent="0.25">
      <c r="C12" s="18" t="s">
        <v>21</v>
      </c>
      <c r="D12" s="31" t="str">
        <f>VLOOKUP($C12,ActiveJobs[],2,FALSE)</f>
        <v>Metro Bus Stop 39</v>
      </c>
      <c r="E12" s="31" t="str">
        <f>VLOOKUP($C12,ActiveJobs[],3,FALSE)</f>
        <v>Unstarted</v>
      </c>
      <c r="F12" s="2">
        <f>VLOOKUP($C12,ActiveJobs[],4,FALSE)</f>
        <v>18000</v>
      </c>
      <c r="G12" s="30">
        <v>14315</v>
      </c>
      <c r="H12" s="2">
        <f t="shared" si="0"/>
        <v>3685</v>
      </c>
      <c r="I12" s="25">
        <f t="shared" si="1"/>
        <v>0.2</v>
      </c>
      <c r="K12" s="2">
        <f>VLOOKUP($C12,ActiveJobs[],6,FALSE)</f>
        <v>0</v>
      </c>
      <c r="L12" s="25">
        <f t="shared" si="2"/>
        <v>0</v>
      </c>
      <c r="M12" s="2">
        <f t="shared" si="3"/>
        <v>0</v>
      </c>
      <c r="N12" s="2">
        <f>VLOOKUP($C12,ActiveJobs[],5,FALSE)</f>
        <v>0</v>
      </c>
      <c r="O12" s="2">
        <f t="shared" ref="O12" si="22">IF(N12&gt;M12,N12-M12,0)</f>
        <v>0</v>
      </c>
      <c r="P12" s="2">
        <f t="shared" ref="P12" si="23">IF(N12&lt;M12,M12-N12,0)</f>
        <v>0</v>
      </c>
      <c r="R12" s="2">
        <f t="shared" ref="R12" si="24">M12</f>
        <v>0</v>
      </c>
      <c r="S12" s="2">
        <f t="shared" ref="S12" si="25">-K12</f>
        <v>0</v>
      </c>
      <c r="T12" s="2">
        <f t="shared" ref="T12" si="26">SUM(R12:S12)</f>
        <v>0</v>
      </c>
      <c r="U12" s="25">
        <f t="shared" ref="U12" si="27">IF(AND(T12&lt;&gt;0,R12&lt;&gt;0),ROUND(T12/R12,2),0)</f>
        <v>0</v>
      </c>
      <c r="W12" s="30">
        <v>0</v>
      </c>
      <c r="X12" s="30">
        <v>0</v>
      </c>
      <c r="Y12" s="2">
        <f t="shared" ref="Y12" si="28">SUM(W12:X12)</f>
        <v>0</v>
      </c>
      <c r="Z12" s="25">
        <f t="shared" ref="Z12" si="29">IF(AND(Y12&lt;&gt;0,W12&lt;&gt;0),ROUND(Y12/W12,2),0)</f>
        <v>0</v>
      </c>
      <c r="AB12" s="2">
        <f t="shared" ref="AB12" si="30">ROUND(R12-W12,2)</f>
        <v>0</v>
      </c>
      <c r="AC12" s="2">
        <f t="shared" ref="AC12" si="31">ROUND(S12-X12,2)</f>
        <v>0</v>
      </c>
      <c r="AD12" s="2">
        <f t="shared" ref="AD12" si="32">SUM(AB12:AC12)</f>
        <v>0</v>
      </c>
      <c r="AE12" s="25">
        <f t="shared" ref="AE12" si="33">IF(AND(AD12&lt;&gt;0,AB12&lt;&gt;0),ROUND(AD12/AB12,2),0)</f>
        <v>0</v>
      </c>
      <c r="AG12" s="30"/>
      <c r="AH12" s="30"/>
      <c r="AI12" s="2">
        <f t="shared" ref="AI12" si="34">SUM(AG12:AH12)</f>
        <v>0</v>
      </c>
      <c r="AJ12" s="25">
        <f t="shared" ref="AJ12" si="35">IF(AND(AI12&lt;&gt;0,AG12&lt;&gt;0),ROUND(AI12/AG12,2),0)</f>
        <v>0</v>
      </c>
      <c r="AL12" s="2">
        <f t="shared" ref="AL12" si="36">ROUND(R12-AG12,2)</f>
        <v>0</v>
      </c>
      <c r="AM12" s="2">
        <f t="shared" ref="AM12" si="37">ROUND(S12-AH12,2)</f>
        <v>0</v>
      </c>
      <c r="AN12" s="2">
        <f t="shared" ref="AN12" si="38">SUM(AL12:AM12)</f>
        <v>0</v>
      </c>
      <c r="AO12" s="25">
        <f t="shared" ref="AO12" si="39">IF(AND(AN12&lt;&gt;0,AL12&lt;&gt;0),ROUND(AN12/AL12,2),0)</f>
        <v>0</v>
      </c>
    </row>
    <row r="13" spans="2:41" s="31" customFormat="1" x14ac:dyDescent="0.25">
      <c r="C13" s="18" t="s">
        <v>22</v>
      </c>
      <c r="D13" s="31" t="str">
        <f>VLOOKUP($C13,ActiveJobs[],2,FALSE)</f>
        <v>PGE Line WO#345</v>
      </c>
      <c r="E13" s="31" t="str">
        <f>VLOOKUP($C13,ActiveJobs[],3,FALSE)</f>
        <v>In progress</v>
      </c>
      <c r="F13" s="2">
        <f>VLOOKUP($C13,ActiveJobs[],4,FALSE)</f>
        <v>0</v>
      </c>
      <c r="G13" s="30"/>
      <c r="H13" s="2">
        <f t="shared" si="0"/>
        <v>0</v>
      </c>
      <c r="I13" s="25">
        <f t="shared" si="1"/>
        <v>0</v>
      </c>
      <c r="K13" s="2">
        <f>VLOOKUP($C13,ActiveJobs[],6,FALSE)</f>
        <v>14589.11</v>
      </c>
      <c r="L13" s="25">
        <f t="shared" si="2"/>
        <v>0</v>
      </c>
      <c r="M13" s="2">
        <f t="shared" si="3"/>
        <v>0</v>
      </c>
      <c r="N13" s="2">
        <f>VLOOKUP($C13,ActiveJobs[],5,FALSE)</f>
        <v>110</v>
      </c>
      <c r="O13" s="2">
        <f t="shared" si="20"/>
        <v>110</v>
      </c>
      <c r="P13" s="2">
        <f t="shared" si="21"/>
        <v>0</v>
      </c>
      <c r="R13" s="2">
        <f t="shared" si="9"/>
        <v>0</v>
      </c>
      <c r="S13" s="2">
        <f t="shared" si="10"/>
        <v>-14589.11</v>
      </c>
      <c r="T13" s="2">
        <f t="shared" si="11"/>
        <v>-14589.11</v>
      </c>
      <c r="U13" s="25">
        <f t="shared" si="4"/>
        <v>0</v>
      </c>
      <c r="W13" s="30">
        <v>0</v>
      </c>
      <c r="X13" s="30">
        <v>0</v>
      </c>
      <c r="Y13" s="2">
        <f t="shared" si="12"/>
        <v>0</v>
      </c>
      <c r="Z13" s="25">
        <f t="shared" si="5"/>
        <v>0</v>
      </c>
      <c r="AB13" s="2">
        <f t="shared" si="13"/>
        <v>0</v>
      </c>
      <c r="AC13" s="2">
        <f t="shared" si="14"/>
        <v>-14589.11</v>
      </c>
      <c r="AD13" s="2">
        <f t="shared" si="15"/>
        <v>-14589.11</v>
      </c>
      <c r="AE13" s="25">
        <f t="shared" si="6"/>
        <v>0</v>
      </c>
      <c r="AG13" s="30"/>
      <c r="AH13" s="30"/>
      <c r="AI13" s="2">
        <f t="shared" si="16"/>
        <v>0</v>
      </c>
      <c r="AJ13" s="25">
        <f t="shared" si="7"/>
        <v>0</v>
      </c>
      <c r="AL13" s="2">
        <f t="shared" si="17"/>
        <v>0</v>
      </c>
      <c r="AM13" s="2">
        <f t="shared" si="18"/>
        <v>-14589.11</v>
      </c>
      <c r="AN13" s="2">
        <f t="shared" si="19"/>
        <v>-14589.11</v>
      </c>
      <c r="AO13" s="25">
        <f t="shared" si="8"/>
        <v>0</v>
      </c>
    </row>
    <row r="14" spans="2:41" s="31" customFormat="1" x14ac:dyDescent="0.25">
      <c r="C14" s="18" t="s">
        <v>33</v>
      </c>
      <c r="D14" s="31" t="str">
        <f>VLOOKUP($C14,ActiveJobs[],2,FALSE)</f>
        <v>Low Income Housing</v>
      </c>
      <c r="E14" s="31" t="str">
        <f>VLOOKUP($C14,ActiveJobs[],3,FALSE)</f>
        <v>Unstarted</v>
      </c>
      <c r="F14" s="2">
        <f>VLOOKUP($C14,ActiveJobs[],4,FALSE)</f>
        <v>0</v>
      </c>
      <c r="G14" s="30"/>
      <c r="H14" s="2">
        <f t="shared" ref="H14:H19" si="40">ROUND(F14-G14,2)</f>
        <v>0</v>
      </c>
      <c r="I14" s="25">
        <f t="shared" ref="I14:I19" si="41">IF(AND(H14&lt;&gt;0,F14&lt;&gt;0),ROUND(H14/F14,2),0)</f>
        <v>0</v>
      </c>
      <c r="K14" s="2">
        <f>VLOOKUP($C14,ActiveJobs[],6,FALSE)</f>
        <v>0</v>
      </c>
      <c r="L14" s="25">
        <f t="shared" ref="L14:L19" si="42">IF(AND(K14&lt;&gt;0,G14&lt;&gt;0),ROUND(K14/G14,2),0)</f>
        <v>0</v>
      </c>
      <c r="M14" s="2">
        <f t="shared" ref="M14:M19" si="43">ROUND(F14*L14,2)</f>
        <v>0</v>
      </c>
      <c r="N14" s="2">
        <f>VLOOKUP($C14,ActiveJobs[],5,FALSE)</f>
        <v>0</v>
      </c>
      <c r="O14" s="2">
        <f t="shared" si="20"/>
        <v>0</v>
      </c>
      <c r="P14" s="2">
        <f t="shared" si="21"/>
        <v>0</v>
      </c>
      <c r="R14" s="2">
        <f t="shared" si="9"/>
        <v>0</v>
      </c>
      <c r="S14" s="2">
        <f t="shared" si="10"/>
        <v>0</v>
      </c>
      <c r="T14" s="2">
        <f t="shared" si="11"/>
        <v>0</v>
      </c>
      <c r="U14" s="25">
        <f t="shared" si="4"/>
        <v>0</v>
      </c>
      <c r="W14" s="30"/>
      <c r="X14" s="30">
        <v>0</v>
      </c>
      <c r="Y14" s="2">
        <f t="shared" si="12"/>
        <v>0</v>
      </c>
      <c r="Z14" s="25">
        <f t="shared" si="5"/>
        <v>0</v>
      </c>
      <c r="AB14" s="2">
        <f t="shared" si="13"/>
        <v>0</v>
      </c>
      <c r="AC14" s="2">
        <f t="shared" si="14"/>
        <v>0</v>
      </c>
      <c r="AD14" s="2">
        <f t="shared" si="15"/>
        <v>0</v>
      </c>
      <c r="AE14" s="25">
        <f t="shared" si="6"/>
        <v>0</v>
      </c>
      <c r="AG14" s="30"/>
      <c r="AH14" s="30"/>
      <c r="AI14" s="2">
        <f t="shared" si="16"/>
        <v>0</v>
      </c>
      <c r="AJ14" s="25">
        <f t="shared" si="7"/>
        <v>0</v>
      </c>
      <c r="AL14" s="2">
        <f t="shared" si="17"/>
        <v>0</v>
      </c>
      <c r="AM14" s="2">
        <f t="shared" si="18"/>
        <v>0</v>
      </c>
      <c r="AN14" s="2">
        <f t="shared" si="19"/>
        <v>0</v>
      </c>
      <c r="AO14" s="25">
        <f t="shared" si="8"/>
        <v>0</v>
      </c>
    </row>
    <row r="15" spans="2:41" s="31" customFormat="1" x14ac:dyDescent="0.25">
      <c r="C15" s="18" t="s">
        <v>35</v>
      </c>
      <c r="D15" s="31" t="str">
        <f>VLOOKUP($C15,ActiveJobs[],2,FALSE)</f>
        <v>Rose Garden Arena Rewiring</v>
      </c>
      <c r="E15" s="31" t="str">
        <f>VLOOKUP($C15,ActiveJobs[],3,FALSE)</f>
        <v>In progress</v>
      </c>
      <c r="F15" s="2">
        <f>VLOOKUP($C15,ActiveJobs[],4,FALSE)</f>
        <v>0</v>
      </c>
      <c r="G15" s="30"/>
      <c r="H15" s="2">
        <f t="shared" si="40"/>
        <v>0</v>
      </c>
      <c r="I15" s="25">
        <f t="shared" si="41"/>
        <v>0</v>
      </c>
      <c r="K15" s="2">
        <f>VLOOKUP($C15,ActiveJobs[],6,FALSE)</f>
        <v>0</v>
      </c>
      <c r="L15" s="25">
        <f t="shared" si="42"/>
        <v>0</v>
      </c>
      <c r="M15" s="2">
        <f t="shared" si="43"/>
        <v>0</v>
      </c>
      <c r="N15" s="2">
        <f>VLOOKUP($C15,ActiveJobs[],5,FALSE)</f>
        <v>0</v>
      </c>
      <c r="O15" s="2">
        <f t="shared" si="20"/>
        <v>0</v>
      </c>
      <c r="P15" s="2">
        <f t="shared" si="21"/>
        <v>0</v>
      </c>
      <c r="R15" s="2">
        <f t="shared" si="9"/>
        <v>0</v>
      </c>
      <c r="S15" s="2">
        <f t="shared" si="10"/>
        <v>0</v>
      </c>
      <c r="T15" s="2">
        <f t="shared" si="11"/>
        <v>0</v>
      </c>
      <c r="U15" s="25">
        <f t="shared" si="4"/>
        <v>0</v>
      </c>
      <c r="W15" s="30"/>
      <c r="X15" s="30">
        <v>0</v>
      </c>
      <c r="Y15" s="2">
        <f t="shared" si="12"/>
        <v>0</v>
      </c>
      <c r="Z15" s="25">
        <f t="shared" si="5"/>
        <v>0</v>
      </c>
      <c r="AB15" s="2">
        <f t="shared" si="13"/>
        <v>0</v>
      </c>
      <c r="AC15" s="2">
        <f t="shared" si="14"/>
        <v>0</v>
      </c>
      <c r="AD15" s="2">
        <f t="shared" si="15"/>
        <v>0</v>
      </c>
      <c r="AE15" s="25">
        <f t="shared" si="6"/>
        <v>0</v>
      </c>
      <c r="AG15" s="30"/>
      <c r="AH15" s="30"/>
      <c r="AI15" s="2">
        <f t="shared" si="16"/>
        <v>0</v>
      </c>
      <c r="AJ15" s="25">
        <f t="shared" si="7"/>
        <v>0</v>
      </c>
      <c r="AL15" s="2">
        <f t="shared" si="17"/>
        <v>0</v>
      </c>
      <c r="AM15" s="2">
        <f t="shared" si="18"/>
        <v>0</v>
      </c>
      <c r="AN15" s="2">
        <f t="shared" si="19"/>
        <v>0</v>
      </c>
      <c r="AO15" s="25">
        <f t="shared" si="8"/>
        <v>0</v>
      </c>
    </row>
    <row r="16" spans="2:41" s="31" customFormat="1" x14ac:dyDescent="0.25">
      <c r="C16" s="18" t="s">
        <v>23</v>
      </c>
      <c r="D16" s="31" t="str">
        <f>VLOOKUP($C16,ActiveJobs[],2,FALSE)</f>
        <v>OHSU Lighting Renovation</v>
      </c>
      <c r="E16" s="31" t="str">
        <f>VLOOKUP($C16,ActiveJobs[],3,FALSE)</f>
        <v>Unstarted</v>
      </c>
      <c r="F16" s="2">
        <f>VLOOKUP($C16,ActiveJobs[],4,FALSE)</f>
        <v>160495</v>
      </c>
      <c r="G16" s="30">
        <v>53600</v>
      </c>
      <c r="H16" s="2">
        <f t="shared" si="40"/>
        <v>106895</v>
      </c>
      <c r="I16" s="25">
        <f t="shared" si="41"/>
        <v>0.67</v>
      </c>
      <c r="K16" s="2">
        <f>VLOOKUP($C16,ActiveJobs[],6,FALSE)</f>
        <v>0</v>
      </c>
      <c r="L16" s="25">
        <f t="shared" si="42"/>
        <v>0</v>
      </c>
      <c r="M16" s="2">
        <f t="shared" si="43"/>
        <v>0</v>
      </c>
      <c r="N16" s="2">
        <f>VLOOKUP($C16,ActiveJobs[],5,FALSE)</f>
        <v>131.5</v>
      </c>
      <c r="O16" s="2">
        <f t="shared" si="20"/>
        <v>131.5</v>
      </c>
      <c r="P16" s="2">
        <f t="shared" si="21"/>
        <v>0</v>
      </c>
      <c r="R16" s="2">
        <f t="shared" si="9"/>
        <v>0</v>
      </c>
      <c r="S16" s="2">
        <f t="shared" si="10"/>
        <v>0</v>
      </c>
      <c r="T16" s="2">
        <f t="shared" si="11"/>
        <v>0</v>
      </c>
      <c r="U16" s="25">
        <f t="shared" si="4"/>
        <v>0</v>
      </c>
      <c r="W16" s="30"/>
      <c r="X16" s="30">
        <v>0</v>
      </c>
      <c r="Y16" s="2">
        <f t="shared" si="12"/>
        <v>0</v>
      </c>
      <c r="Z16" s="25">
        <f t="shared" si="5"/>
        <v>0</v>
      </c>
      <c r="AB16" s="2">
        <f t="shared" si="13"/>
        <v>0</v>
      </c>
      <c r="AC16" s="2">
        <f t="shared" si="14"/>
        <v>0</v>
      </c>
      <c r="AD16" s="2">
        <f t="shared" si="15"/>
        <v>0</v>
      </c>
      <c r="AE16" s="25">
        <f t="shared" si="6"/>
        <v>0</v>
      </c>
      <c r="AG16" s="30"/>
      <c r="AH16" s="30"/>
      <c r="AI16" s="2">
        <f t="shared" si="16"/>
        <v>0</v>
      </c>
      <c r="AJ16" s="25">
        <f t="shared" si="7"/>
        <v>0</v>
      </c>
      <c r="AL16" s="2">
        <f t="shared" si="17"/>
        <v>0</v>
      </c>
      <c r="AM16" s="2">
        <f t="shared" si="18"/>
        <v>0</v>
      </c>
      <c r="AN16" s="2">
        <f t="shared" si="19"/>
        <v>0</v>
      </c>
      <c r="AO16" s="25">
        <f t="shared" si="8"/>
        <v>0</v>
      </c>
    </row>
    <row r="17" spans="3:41" s="31" customFormat="1" x14ac:dyDescent="0.25">
      <c r="C17" s="18" t="s">
        <v>24</v>
      </c>
      <c r="D17" s="31" t="str">
        <f>VLOOKUP($C17,ActiveJobs[],2,FALSE)</f>
        <v>Tri-Tech Fab Lab</v>
      </c>
      <c r="E17" s="31" t="str">
        <f>VLOOKUP($C17,ActiveJobs[],3,FALSE)</f>
        <v>Unstarted</v>
      </c>
      <c r="F17" s="2">
        <f>VLOOKUP($C17,ActiveJobs[],4,FALSE)</f>
        <v>0</v>
      </c>
      <c r="G17" s="30"/>
      <c r="H17" s="2">
        <f t="shared" ref="H17" si="44">ROUND(F17-G17,2)</f>
        <v>0</v>
      </c>
      <c r="I17" s="25">
        <f t="shared" ref="I17" si="45">IF(AND(H17&lt;&gt;0,F17&lt;&gt;0),ROUND(H17/F17,2),0)</f>
        <v>0</v>
      </c>
      <c r="K17" s="2">
        <f>VLOOKUP($C17,ActiveJobs[],6,FALSE)</f>
        <v>0</v>
      </c>
      <c r="L17" s="25">
        <f t="shared" ref="L17" si="46">IF(AND(K17&lt;&gt;0,G17&lt;&gt;0),ROUND(K17/G17,2),0)</f>
        <v>0</v>
      </c>
      <c r="M17" s="2">
        <f t="shared" ref="M17" si="47">ROUND(F17*L17,2)</f>
        <v>0</v>
      </c>
      <c r="N17" s="2">
        <f>VLOOKUP($C17,ActiveJobs[],5,FALSE)</f>
        <v>0</v>
      </c>
      <c r="O17" s="2">
        <f t="shared" ref="O17" si="48">IF(N17&gt;M17,N17-M17,0)</f>
        <v>0</v>
      </c>
      <c r="P17" s="2">
        <f t="shared" ref="P17" si="49">IF(N17&lt;M17,M17-N17,0)</f>
        <v>0</v>
      </c>
      <c r="R17" s="2">
        <f t="shared" ref="R17" si="50">M17</f>
        <v>0</v>
      </c>
      <c r="S17" s="2">
        <f t="shared" ref="S17" si="51">-K17</f>
        <v>0</v>
      </c>
      <c r="T17" s="2">
        <f t="shared" ref="T17" si="52">SUM(R17:S17)</f>
        <v>0</v>
      </c>
      <c r="U17" s="25">
        <f t="shared" ref="U17" si="53">IF(AND(T17&lt;&gt;0,R17&lt;&gt;0),ROUND(T17/R17,2),0)</f>
        <v>0</v>
      </c>
      <c r="W17" s="30"/>
      <c r="X17" s="30">
        <v>0</v>
      </c>
      <c r="Y17" s="2">
        <f t="shared" ref="Y17" si="54">SUM(W17:X17)</f>
        <v>0</v>
      </c>
      <c r="Z17" s="25">
        <f t="shared" ref="Z17" si="55">IF(AND(Y17&lt;&gt;0,W17&lt;&gt;0),ROUND(Y17/W17,2),0)</f>
        <v>0</v>
      </c>
      <c r="AB17" s="2">
        <f t="shared" ref="AB17" si="56">ROUND(R17-W17,2)</f>
        <v>0</v>
      </c>
      <c r="AC17" s="2">
        <f t="shared" ref="AC17" si="57">ROUND(S17-X17,2)</f>
        <v>0</v>
      </c>
      <c r="AD17" s="2">
        <f t="shared" ref="AD17" si="58">SUM(AB17:AC17)</f>
        <v>0</v>
      </c>
      <c r="AE17" s="25">
        <f t="shared" ref="AE17" si="59">IF(AND(AD17&lt;&gt;0,AB17&lt;&gt;0),ROUND(AD17/AB17,2),0)</f>
        <v>0</v>
      </c>
      <c r="AG17" s="30"/>
      <c r="AH17" s="30"/>
      <c r="AI17" s="2">
        <f t="shared" ref="AI17" si="60">SUM(AG17:AH17)</f>
        <v>0</v>
      </c>
      <c r="AJ17" s="25">
        <f t="shared" ref="AJ17" si="61">IF(AND(AI17&lt;&gt;0,AG17&lt;&gt;0),ROUND(AI17/AG17,2),0)</f>
        <v>0</v>
      </c>
      <c r="AL17" s="2">
        <f t="shared" ref="AL17" si="62">ROUND(R17-AG17,2)</f>
        <v>0</v>
      </c>
      <c r="AM17" s="2">
        <f t="shared" ref="AM17" si="63">ROUND(S17-AH17,2)</f>
        <v>0</v>
      </c>
      <c r="AN17" s="2">
        <f t="shared" ref="AN17" si="64">SUM(AL17:AM17)</f>
        <v>0</v>
      </c>
      <c r="AO17" s="25">
        <f t="shared" ref="AO17" si="65">IF(AND(AN17&lt;&gt;0,AL17&lt;&gt;0),ROUND(AN17/AL17,2),0)</f>
        <v>0</v>
      </c>
    </row>
    <row r="18" spans="3:41" s="31" customFormat="1" x14ac:dyDescent="0.25">
      <c r="C18" s="18" t="s">
        <v>25</v>
      </c>
      <c r="D18" s="31" t="str">
        <f>VLOOKUP($C18,ActiveJobs[],2,FALSE)</f>
        <v>Cordova Middle School</v>
      </c>
      <c r="E18" s="31" t="str">
        <f>VLOOKUP($C18,ActiveJobs[],3,FALSE)</f>
        <v>Unstarted</v>
      </c>
      <c r="F18" s="2">
        <f>VLOOKUP($C18,ActiveJobs[],4,FALSE)</f>
        <v>0</v>
      </c>
      <c r="G18" s="30"/>
      <c r="H18" s="2">
        <f t="shared" si="40"/>
        <v>0</v>
      </c>
      <c r="I18" s="25">
        <f t="shared" si="41"/>
        <v>0</v>
      </c>
      <c r="K18" s="2">
        <f>VLOOKUP($C18,ActiveJobs[],6,FALSE)</f>
        <v>0</v>
      </c>
      <c r="L18" s="25">
        <f t="shared" si="42"/>
        <v>0</v>
      </c>
      <c r="M18" s="2">
        <f t="shared" si="43"/>
        <v>0</v>
      </c>
      <c r="N18" s="2">
        <f>VLOOKUP($C18,ActiveJobs[],5,FALSE)</f>
        <v>1000</v>
      </c>
      <c r="O18" s="2">
        <f t="shared" si="20"/>
        <v>1000</v>
      </c>
      <c r="P18" s="2">
        <f t="shared" si="21"/>
        <v>0</v>
      </c>
      <c r="R18" s="2">
        <f t="shared" si="9"/>
        <v>0</v>
      </c>
      <c r="S18" s="2">
        <f t="shared" si="10"/>
        <v>0</v>
      </c>
      <c r="T18" s="2">
        <f t="shared" si="11"/>
        <v>0</v>
      </c>
      <c r="U18" s="25">
        <f t="shared" si="4"/>
        <v>0</v>
      </c>
      <c r="W18" s="30"/>
      <c r="X18" s="30">
        <v>0</v>
      </c>
      <c r="Y18" s="2">
        <f t="shared" si="12"/>
        <v>0</v>
      </c>
      <c r="Z18" s="25">
        <f t="shared" si="5"/>
        <v>0</v>
      </c>
      <c r="AB18" s="2">
        <f t="shared" si="13"/>
        <v>0</v>
      </c>
      <c r="AC18" s="2">
        <f t="shared" si="14"/>
        <v>0</v>
      </c>
      <c r="AD18" s="2">
        <f t="shared" si="15"/>
        <v>0</v>
      </c>
      <c r="AE18" s="25">
        <f t="shared" si="6"/>
        <v>0</v>
      </c>
      <c r="AG18" s="30"/>
      <c r="AH18" s="30"/>
      <c r="AI18" s="2">
        <f t="shared" si="16"/>
        <v>0</v>
      </c>
      <c r="AJ18" s="25">
        <f t="shared" si="7"/>
        <v>0</v>
      </c>
      <c r="AL18" s="2">
        <f t="shared" si="17"/>
        <v>0</v>
      </c>
      <c r="AM18" s="2">
        <f t="shared" si="18"/>
        <v>0</v>
      </c>
      <c r="AN18" s="2">
        <f t="shared" si="19"/>
        <v>0</v>
      </c>
      <c r="AO18" s="25">
        <f t="shared" si="8"/>
        <v>0</v>
      </c>
    </row>
    <row r="19" spans="3:41" s="31" customFormat="1" x14ac:dyDescent="0.25">
      <c r="C19" s="18" t="s">
        <v>26</v>
      </c>
      <c r="D19" s="31" t="str">
        <f>VLOOKUP($C19,ActiveJobs[],2,FALSE)</f>
        <v>Tri Tech Lab</v>
      </c>
      <c r="E19" s="31" t="str">
        <f>VLOOKUP($C19,ActiveJobs[],3,FALSE)</f>
        <v>Unstarted</v>
      </c>
      <c r="F19" s="2">
        <f>VLOOKUP($C19,ActiveJobs[],4,FALSE)</f>
        <v>0</v>
      </c>
      <c r="G19" s="30"/>
      <c r="H19" s="2">
        <f t="shared" si="40"/>
        <v>0</v>
      </c>
      <c r="I19" s="25">
        <f t="shared" si="41"/>
        <v>0</v>
      </c>
      <c r="K19" s="2">
        <f>VLOOKUP($C19,ActiveJobs[],6,FALSE)</f>
        <v>0</v>
      </c>
      <c r="L19" s="25">
        <f t="shared" si="42"/>
        <v>0</v>
      </c>
      <c r="M19" s="2">
        <f t="shared" si="43"/>
        <v>0</v>
      </c>
      <c r="N19" s="2">
        <f>VLOOKUP($C19,ActiveJobs[],5,FALSE)</f>
        <v>0</v>
      </c>
      <c r="O19" s="2">
        <f t="shared" ref="O19" si="66">IF(N19&gt;M19,N19-M19,0)</f>
        <v>0</v>
      </c>
      <c r="P19" s="2">
        <f t="shared" ref="P19" si="67">IF(N19&lt;M19,M19-N19,0)</f>
        <v>0</v>
      </c>
      <c r="R19" s="2">
        <f t="shared" ref="R19" si="68">M19</f>
        <v>0</v>
      </c>
      <c r="S19" s="2">
        <f t="shared" ref="S19" si="69">-K19</f>
        <v>0</v>
      </c>
      <c r="T19" s="2">
        <f t="shared" ref="T19" si="70">SUM(R19:S19)</f>
        <v>0</v>
      </c>
      <c r="U19" s="25">
        <f t="shared" ref="U19" si="71">IF(AND(T19&lt;&gt;0,R19&lt;&gt;0),ROUND(T19/R19,2),0)</f>
        <v>0</v>
      </c>
      <c r="W19" s="30"/>
      <c r="X19" s="30">
        <v>0</v>
      </c>
      <c r="Y19" s="2">
        <f t="shared" ref="Y19" si="72">SUM(W19:X19)</f>
        <v>0</v>
      </c>
      <c r="Z19" s="25">
        <f t="shared" ref="Z19" si="73">IF(AND(Y19&lt;&gt;0,W19&lt;&gt;0),ROUND(Y19/W19,2),0)</f>
        <v>0</v>
      </c>
      <c r="AB19" s="2">
        <f t="shared" ref="AB19" si="74">ROUND(R19-W19,2)</f>
        <v>0</v>
      </c>
      <c r="AC19" s="2">
        <f t="shared" ref="AC19" si="75">ROUND(S19-X19,2)</f>
        <v>0</v>
      </c>
      <c r="AD19" s="2">
        <f t="shared" ref="AD19" si="76">SUM(AB19:AC19)</f>
        <v>0</v>
      </c>
      <c r="AE19" s="25">
        <f t="shared" ref="AE19" si="77">IF(AND(AD19&lt;&gt;0,AB19&lt;&gt;0),ROUND(AD19/AB19,2),0)</f>
        <v>0</v>
      </c>
      <c r="AG19" s="30"/>
      <c r="AH19" s="30"/>
      <c r="AI19" s="2">
        <f t="shared" ref="AI19" si="78">SUM(AG19:AH19)</f>
        <v>0</v>
      </c>
      <c r="AJ19" s="25">
        <f t="shared" ref="AJ19" si="79">IF(AND(AI19&lt;&gt;0,AG19&lt;&gt;0),ROUND(AI19/AG19,2),0)</f>
        <v>0</v>
      </c>
      <c r="AL19" s="2">
        <f t="shared" ref="AL19" si="80">ROUND(R19-AG19,2)</f>
        <v>0</v>
      </c>
      <c r="AM19" s="2">
        <f t="shared" ref="AM19" si="81">ROUND(S19-AH19,2)</f>
        <v>0</v>
      </c>
      <c r="AN19" s="2">
        <f t="shared" ref="AN19" si="82">SUM(AL19:AM19)</f>
        <v>0</v>
      </c>
      <c r="AO19" s="25">
        <f t="shared" ref="AO19" si="83">IF(AND(AN19&lt;&gt;0,AL19&lt;&gt;0),ROUND(AN19/AL19,2),0)</f>
        <v>0</v>
      </c>
    </row>
    <row r="20" spans="3:41" s="31" customFormat="1" x14ac:dyDescent="0.25">
      <c r="C20" s="18" t="s">
        <v>41</v>
      </c>
      <c r="D20" s="31" t="str">
        <f>VLOOKUP($C20,ActiveJobs[],2,FALSE)</f>
        <v>Downtown Supermarket</v>
      </c>
      <c r="E20" s="31" t="str">
        <f>VLOOKUP($C20,ActiveJobs[],3,FALSE)</f>
        <v>Unstarted</v>
      </c>
      <c r="F20" s="2">
        <f>VLOOKUP($C20,ActiveJobs[],4,FALSE)</f>
        <v>0</v>
      </c>
      <c r="G20" s="30"/>
      <c r="H20" s="2">
        <f t="shared" ref="H20:H21" si="84">ROUND(F20-G20,2)</f>
        <v>0</v>
      </c>
      <c r="I20" s="25">
        <f t="shared" ref="I20:I22" si="85">IF(AND(H20&lt;&gt;0,F20&lt;&gt;0),ROUND(H20/F20,2),0)</f>
        <v>0</v>
      </c>
      <c r="K20" s="2">
        <f>VLOOKUP($C20,ActiveJobs[],6,FALSE)</f>
        <v>0</v>
      </c>
      <c r="L20" s="25">
        <f t="shared" ref="L20:L21" si="86">IF(AND(K20&lt;&gt;0,G20&lt;&gt;0),ROUND(K20/G20,2),0)</f>
        <v>0</v>
      </c>
      <c r="M20" s="2">
        <f t="shared" ref="M20:M21" si="87">ROUND(F20*L20,2)</f>
        <v>0</v>
      </c>
      <c r="N20" s="2">
        <f>VLOOKUP($C20,ActiveJobs[],5,FALSE)</f>
        <v>3264.3</v>
      </c>
      <c r="O20" s="2">
        <f t="shared" si="20"/>
        <v>3264.3</v>
      </c>
      <c r="P20" s="2">
        <f t="shared" si="21"/>
        <v>0</v>
      </c>
      <c r="R20" s="2">
        <f t="shared" si="9"/>
        <v>0</v>
      </c>
      <c r="S20" s="2">
        <f t="shared" si="10"/>
        <v>0</v>
      </c>
      <c r="T20" s="2">
        <f t="shared" si="11"/>
        <v>0</v>
      </c>
      <c r="U20" s="25">
        <f t="shared" si="4"/>
        <v>0</v>
      </c>
      <c r="W20" s="30"/>
      <c r="X20" s="30">
        <v>0</v>
      </c>
      <c r="Y20" s="2">
        <f t="shared" si="12"/>
        <v>0</v>
      </c>
      <c r="Z20" s="25">
        <f t="shared" si="5"/>
        <v>0</v>
      </c>
      <c r="AB20" s="2">
        <f t="shared" si="13"/>
        <v>0</v>
      </c>
      <c r="AC20" s="2">
        <f t="shared" si="14"/>
        <v>0</v>
      </c>
      <c r="AD20" s="2">
        <f t="shared" si="15"/>
        <v>0</v>
      </c>
      <c r="AE20" s="25">
        <f t="shared" si="6"/>
        <v>0</v>
      </c>
      <c r="AG20" s="30"/>
      <c r="AH20" s="30"/>
      <c r="AI20" s="2">
        <f t="shared" si="16"/>
        <v>0</v>
      </c>
      <c r="AJ20" s="25">
        <f t="shared" si="7"/>
        <v>0</v>
      </c>
      <c r="AL20" s="2">
        <f t="shared" si="17"/>
        <v>0</v>
      </c>
      <c r="AM20" s="2">
        <f t="shared" si="18"/>
        <v>0</v>
      </c>
      <c r="AN20" s="2">
        <f t="shared" si="19"/>
        <v>0</v>
      </c>
      <c r="AO20" s="25">
        <f t="shared" si="8"/>
        <v>0</v>
      </c>
    </row>
    <row r="21" spans="3:41" s="31" customFormat="1" x14ac:dyDescent="0.25">
      <c r="C21" s="18" t="s">
        <v>27</v>
      </c>
      <c r="D21" s="31" t="str">
        <f>VLOOKUP($C21,ActiveJobs[],2,FALSE)</f>
        <v>Beaverton Office Park</v>
      </c>
      <c r="E21" s="31" t="str">
        <f>VLOOKUP($C21,ActiveJobs[],3,FALSE)</f>
        <v>Unstarted</v>
      </c>
      <c r="F21" s="2">
        <f>VLOOKUP($C21,ActiveJobs[],4,FALSE)</f>
        <v>831930</v>
      </c>
      <c r="G21" s="30">
        <v>777484.61</v>
      </c>
      <c r="H21" s="2">
        <f t="shared" si="84"/>
        <v>54445.39</v>
      </c>
      <c r="I21" s="25">
        <f t="shared" si="85"/>
        <v>7.0000000000000007E-2</v>
      </c>
      <c r="K21" s="2">
        <f>VLOOKUP($C21,ActiveJobs[],6,FALSE)</f>
        <v>0</v>
      </c>
      <c r="L21" s="25">
        <f t="shared" si="86"/>
        <v>0</v>
      </c>
      <c r="M21" s="2">
        <f t="shared" si="87"/>
        <v>0</v>
      </c>
      <c r="N21" s="2">
        <f>VLOOKUP($C21,ActiveJobs[],5,FALSE)</f>
        <v>0</v>
      </c>
      <c r="O21" s="2">
        <f t="shared" si="20"/>
        <v>0</v>
      </c>
      <c r="P21" s="2">
        <f t="shared" si="21"/>
        <v>0</v>
      </c>
      <c r="R21" s="2">
        <f t="shared" si="9"/>
        <v>0</v>
      </c>
      <c r="S21" s="2">
        <f t="shared" si="10"/>
        <v>0</v>
      </c>
      <c r="T21" s="2">
        <f t="shared" si="11"/>
        <v>0</v>
      </c>
      <c r="U21" s="25">
        <f t="shared" si="4"/>
        <v>0</v>
      </c>
      <c r="W21" s="30"/>
      <c r="X21" s="30">
        <v>0</v>
      </c>
      <c r="Y21" s="2">
        <f t="shared" si="12"/>
        <v>0</v>
      </c>
      <c r="Z21" s="25">
        <f t="shared" si="5"/>
        <v>0</v>
      </c>
      <c r="AB21" s="2">
        <f t="shared" si="13"/>
        <v>0</v>
      </c>
      <c r="AC21" s="2">
        <f t="shared" si="14"/>
        <v>0</v>
      </c>
      <c r="AD21" s="2">
        <f t="shared" si="15"/>
        <v>0</v>
      </c>
      <c r="AE21" s="25">
        <f t="shared" si="6"/>
        <v>0</v>
      </c>
      <c r="AG21" s="30"/>
      <c r="AH21" s="30"/>
      <c r="AI21" s="2">
        <f t="shared" si="16"/>
        <v>0</v>
      </c>
      <c r="AJ21" s="25">
        <f t="shared" si="7"/>
        <v>0</v>
      </c>
      <c r="AL21" s="2">
        <f t="shared" si="17"/>
        <v>0</v>
      </c>
      <c r="AM21" s="2">
        <f t="shared" si="18"/>
        <v>0</v>
      </c>
      <c r="AN21" s="2">
        <f t="shared" si="19"/>
        <v>0</v>
      </c>
      <c r="AO21" s="25">
        <f t="shared" si="8"/>
        <v>0</v>
      </c>
    </row>
    <row r="22" spans="3:41" ht="15.75" thickBot="1" x14ac:dyDescent="0.3">
      <c r="F22" s="16">
        <f>SUBTOTAL(9,F8:F21)</f>
        <v>5045630.2</v>
      </c>
      <c r="G22" s="16">
        <f>SUBTOTAL(9,G8:G21)</f>
        <v>4471193.99</v>
      </c>
      <c r="H22" s="16">
        <f>SUBTOTAL(9,H8:H21)</f>
        <v>574436.21</v>
      </c>
      <c r="I22" s="21">
        <f t="shared" si="85"/>
        <v>0.11</v>
      </c>
      <c r="K22" s="16">
        <f>SUBTOTAL(9,K8:K21)</f>
        <v>1090739.4900000002</v>
      </c>
      <c r="M22" s="16">
        <f>SUBTOTAL(9,M8:M21)</f>
        <v>1196398.54</v>
      </c>
      <c r="N22" s="16">
        <f>SUBTOTAL(9,N8:N21)</f>
        <v>1053730.8</v>
      </c>
      <c r="O22" s="16">
        <f>SUBTOTAL(9,O8:O21)</f>
        <v>45283.39999999998</v>
      </c>
      <c r="P22" s="16">
        <f>SUBTOTAL(9,P8:P21)</f>
        <v>187951.14</v>
      </c>
      <c r="R22" s="16">
        <f>SUBTOTAL(9,R8:R21)</f>
        <v>1196398.54</v>
      </c>
      <c r="S22" s="16">
        <f>SUBTOTAL(9,S8:S21)</f>
        <v>-1090739.4900000002</v>
      </c>
      <c r="T22" s="16">
        <f>SUBTOTAL(9,T8:T21)</f>
        <v>105659.05000000003</v>
      </c>
      <c r="U22" s="21">
        <f t="shared" si="4"/>
        <v>0.09</v>
      </c>
      <c r="W22" s="16">
        <f>SUBTOTAL(9,W8:W21)</f>
        <v>869026.64</v>
      </c>
      <c r="X22" s="16">
        <f>SUBTOTAL(9,X8:X21)</f>
        <v>-776039.42999999993</v>
      </c>
      <c r="Y22" s="16">
        <f>SUBTOTAL(9,Y8:Y21)</f>
        <v>92987.210000000079</v>
      </c>
      <c r="Z22" s="21">
        <f t="shared" si="5"/>
        <v>0.11</v>
      </c>
      <c r="AB22" s="16">
        <f>SUBTOTAL(9,AB8:AB21)</f>
        <v>327371.90000000002</v>
      </c>
      <c r="AC22" s="16">
        <f>SUBTOTAL(9,AC8:AC21)</f>
        <v>-314700.06</v>
      </c>
      <c r="AD22" s="16">
        <f>SUBTOTAL(9,AD8:AD21)</f>
        <v>12671.839999999997</v>
      </c>
      <c r="AE22" s="21">
        <f t="shared" si="6"/>
        <v>0.04</v>
      </c>
      <c r="AG22" s="16">
        <f>SUBTOTAL(9,AG8:AG21)</f>
        <v>15322.44</v>
      </c>
      <c r="AH22" s="16">
        <f>SUBTOTAL(9,AH8:AH21)</f>
        <v>0</v>
      </c>
      <c r="AI22" s="16">
        <f>SUBTOTAL(9,AI8:AI21)</f>
        <v>15322.44</v>
      </c>
      <c r="AJ22" s="21">
        <f t="shared" si="7"/>
        <v>1</v>
      </c>
      <c r="AL22" s="16">
        <f>SUBTOTAL(9,AL8:AL21)</f>
        <v>1181076.1000000001</v>
      </c>
      <c r="AM22" s="16">
        <f>SUBTOTAL(9,AM8:AM21)</f>
        <v>-1090739.4900000002</v>
      </c>
      <c r="AN22" s="16">
        <f>SUBTOTAL(9,AN8:AN21)</f>
        <v>90336.609999999971</v>
      </c>
      <c r="AO22" s="21">
        <f t="shared" si="8"/>
        <v>0.08</v>
      </c>
    </row>
    <row r="23" spans="3:41" ht="15.75" thickTop="1" x14ac:dyDescent="0.25"/>
  </sheetData>
  <mergeCells count="5">
    <mergeCell ref="R5:U5"/>
    <mergeCell ref="W5:Z5"/>
    <mergeCell ref="AB5:AE5"/>
    <mergeCell ref="AG5:AJ5"/>
    <mergeCell ref="AL5:AO5"/>
  </mergeCells>
  <pageMargins left="0.25" right="0.25" top="0.75" bottom="0.75" header="0.3" footer="0.3"/>
  <pageSetup scale="70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F43"/>
  <sheetViews>
    <sheetView showGridLines="0" showZeros="0" zoomScale="80" zoomScaleNormal="80" workbookViewId="0">
      <pane ySplit="9" topLeftCell="A20" activePane="bottomLeft" state="frozen"/>
      <selection pane="bottomLeft" activeCell="D27" sqref="D27"/>
    </sheetView>
  </sheetViews>
  <sheetFormatPr defaultRowHeight="15" x14ac:dyDescent="0.25"/>
  <cols>
    <col min="1" max="2" width="5" style="31" customWidth="1"/>
    <col min="3" max="3" width="26.5703125" customWidth="1"/>
    <col min="4" max="4" width="12.7109375" style="2" bestFit="1" customWidth="1"/>
    <col min="5" max="5" width="14.42578125" style="2" bestFit="1" customWidth="1"/>
    <col min="6" max="6" width="13.5703125" style="14" bestFit="1" customWidth="1"/>
    <col min="7" max="7" width="13.5703125" style="31" bestFit="1" customWidth="1"/>
    <col min="8" max="16384" width="9.140625" style="31"/>
  </cols>
  <sheetData>
    <row r="2" spans="2:6" s="9" customFormat="1" x14ac:dyDescent="0.25">
      <c r="B2" s="9" t="s">
        <v>44</v>
      </c>
      <c r="C2"/>
      <c r="D2" s="2"/>
      <c r="E2" s="2"/>
      <c r="F2" s="13"/>
    </row>
    <row r="3" spans="2:6" s="9" customFormat="1" x14ac:dyDescent="0.25">
      <c r="B3" s="9" t="s">
        <v>649</v>
      </c>
      <c r="C3"/>
      <c r="F3" s="13"/>
    </row>
    <row r="4" spans="2:6" s="9" customFormat="1" x14ac:dyDescent="0.25">
      <c r="C4" s="31"/>
      <c r="F4" s="13"/>
    </row>
    <row r="5" spans="2:6" s="9" customFormat="1" x14ac:dyDescent="0.25">
      <c r="C5" s="31" t="s">
        <v>655</v>
      </c>
      <c r="E5" s="64" t="str">
        <f>'WIP Journal Entry'!E7</f>
        <v>May</v>
      </c>
      <c r="F5" s="13"/>
    </row>
    <row r="6" spans="2:6" s="9" customFormat="1" ht="15.75" customHeight="1" x14ac:dyDescent="0.25">
      <c r="C6" s="31" t="s">
        <v>656</v>
      </c>
      <c r="E6" s="65">
        <f>'WIP Journal Entry'!E8</f>
        <v>42155</v>
      </c>
      <c r="F6" s="13"/>
    </row>
    <row r="7" spans="2:6" s="9" customFormat="1" ht="15.75" customHeight="1" x14ac:dyDescent="0.25">
      <c r="C7" s="31"/>
      <c r="F7" s="13"/>
    </row>
    <row r="8" spans="2:6" x14ac:dyDescent="0.25">
      <c r="D8" s="50" t="s">
        <v>650</v>
      </c>
      <c r="E8" s="50" t="s">
        <v>652</v>
      </c>
    </row>
    <row r="9" spans="2:6" x14ac:dyDescent="0.25">
      <c r="C9" s="31"/>
      <c r="D9" s="28" t="s">
        <v>651</v>
      </c>
      <c r="E9" s="28" t="s">
        <v>651</v>
      </c>
    </row>
    <row r="10" spans="2:6" ht="18.75" x14ac:dyDescent="0.3">
      <c r="C10" s="61" t="s">
        <v>50</v>
      </c>
    </row>
    <row r="11" spans="2:6" x14ac:dyDescent="0.25">
      <c r="C11" s="60" t="s">
        <v>654</v>
      </c>
      <c r="D11" s="2">
        <f>ActiveJobs[[#Totals],[EXPR_4]]</f>
        <v>163455.79999999999</v>
      </c>
      <c r="E11" s="2">
        <f>ActiveJobs[[#Totals],[EXPR_5]]</f>
        <v>1053730.8</v>
      </c>
    </row>
    <row r="12" spans="2:6" hidden="1" x14ac:dyDescent="0.25">
      <c r="C12" s="31"/>
      <c r="F12" s="31"/>
    </row>
    <row r="13" spans="2:6" x14ac:dyDescent="0.25">
      <c r="C13" s="31"/>
      <c r="F13" s="31"/>
    </row>
    <row r="14" spans="2:6" x14ac:dyDescent="0.25">
      <c r="C14" s="33" t="s">
        <v>653</v>
      </c>
      <c r="F14" s="31"/>
    </row>
    <row r="15" spans="2:6" x14ac:dyDescent="0.25">
      <c r="C15" s="36" t="s">
        <v>56</v>
      </c>
      <c r="D15" s="2">
        <f>-VLOOKUP(C15,GLAccounts[],3,FALSE)</f>
        <v>110</v>
      </c>
      <c r="E15" s="2">
        <f>-VLOOKUP(C15,GLAccounts[],4,FALSE)</f>
        <v>122110</v>
      </c>
      <c r="F15" s="31"/>
    </row>
    <row r="16" spans="2:6" x14ac:dyDescent="0.25">
      <c r="C16" s="37" t="s">
        <v>57</v>
      </c>
      <c r="D16" s="2">
        <f>-VLOOKUP(C16,GLAccounts[],3,FALSE)</f>
        <v>163345.79999999999</v>
      </c>
      <c r="E16" s="2">
        <f>-VLOOKUP(C16,GLAccounts[],4,FALSE)</f>
        <v>931620.8</v>
      </c>
      <c r="F16" s="31"/>
    </row>
    <row r="17" spans="3:6" x14ac:dyDescent="0.25">
      <c r="C17" s="38" t="s">
        <v>627</v>
      </c>
      <c r="D17" s="34">
        <f>SUBTOTAL(9,D15:D16)</f>
        <v>163455.79999999999</v>
      </c>
      <c r="E17" s="34">
        <f>SUBTOTAL(9,E15:E16)</f>
        <v>1053730.8</v>
      </c>
      <c r="F17" s="31"/>
    </row>
    <row r="18" spans="3:6" x14ac:dyDescent="0.25">
      <c r="C18" s="37"/>
      <c r="D18" s="30"/>
      <c r="E18" s="30"/>
      <c r="F18" s="31"/>
    </row>
    <row r="19" spans="3:6" x14ac:dyDescent="0.25">
      <c r="C19" s="37"/>
      <c r="D19" s="30"/>
      <c r="E19" s="30"/>
      <c r="F19" s="31"/>
    </row>
    <row r="20" spans="3:6" ht="15.75" thickBot="1" x14ac:dyDescent="0.3">
      <c r="C20" s="41" t="s">
        <v>626</v>
      </c>
      <c r="D20" s="62">
        <f>SUBTOTAL(9,D15:D19)</f>
        <v>163455.79999999999</v>
      </c>
      <c r="E20" s="62">
        <f>SUBTOTAL(9,E15:E19)</f>
        <v>1053730.8</v>
      </c>
      <c r="F20" s="31"/>
    </row>
    <row r="21" spans="3:6" ht="15.75" thickTop="1" x14ac:dyDescent="0.25">
      <c r="C21" s="39"/>
      <c r="D21" s="59"/>
      <c r="E21" s="59"/>
      <c r="F21" s="31"/>
    </row>
    <row r="22" spans="3:6" ht="15.75" thickBot="1" x14ac:dyDescent="0.3">
      <c r="C22" s="39" t="s">
        <v>629</v>
      </c>
      <c r="D22" s="15">
        <f>ROUND(D11-D20,2)</f>
        <v>0</v>
      </c>
      <c r="E22" s="15">
        <f>ROUND(E11-E20,2)</f>
        <v>0</v>
      </c>
      <c r="F22" s="31"/>
    </row>
    <row r="23" spans="3:6" ht="15.75" thickTop="1" x14ac:dyDescent="0.25">
      <c r="C23" s="26"/>
      <c r="F23" s="31"/>
    </row>
    <row r="24" spans="3:6" ht="18.75" x14ac:dyDescent="0.3">
      <c r="C24" s="61" t="s">
        <v>51</v>
      </c>
      <c r="F24" s="31"/>
    </row>
    <row r="25" spans="3:6" x14ac:dyDescent="0.25">
      <c r="C25" s="60" t="s">
        <v>654</v>
      </c>
      <c r="D25" s="2">
        <f>ActiveJobs[[#Totals],[EXPR_6]]</f>
        <v>314700.06</v>
      </c>
      <c r="E25" s="2">
        <f>ActiveJobs[[#Totals],[EXPR_7]]</f>
        <v>1090739.4900000002</v>
      </c>
      <c r="F25" s="31"/>
    </row>
    <row r="26" spans="3:6" x14ac:dyDescent="0.25">
      <c r="C26" s="26"/>
      <c r="F26" s="31"/>
    </row>
    <row r="27" spans="3:6" x14ac:dyDescent="0.25">
      <c r="C27" s="36" t="s">
        <v>240</v>
      </c>
      <c r="D27" s="2">
        <f>VLOOKUP(C27, GLAccounts[],3,FALSE)</f>
        <v>2579.11</v>
      </c>
      <c r="E27" s="2">
        <f>VLOOKUP(C27, GLAccounts[],4,FALSE)</f>
        <v>2579.11</v>
      </c>
      <c r="F27" s="31"/>
    </row>
    <row r="28" spans="3:6" x14ac:dyDescent="0.25">
      <c r="C28" s="36" t="s">
        <v>242</v>
      </c>
      <c r="D28" s="2">
        <f>VLOOKUP(C28, GLAccounts[],3,FALSE)</f>
        <v>2500</v>
      </c>
      <c r="E28" s="2">
        <f>VLOOKUP(C28, GLAccounts[],4,FALSE)</f>
        <v>2500</v>
      </c>
      <c r="F28" s="31"/>
    </row>
    <row r="29" spans="3:6" x14ac:dyDescent="0.25">
      <c r="C29" s="36" t="s">
        <v>244</v>
      </c>
      <c r="D29" s="2">
        <f>VLOOKUP(C29, GLAccounts[],3,FALSE)</f>
        <v>8800</v>
      </c>
      <c r="E29" s="2">
        <f>VLOOKUP(C29, GLAccounts[],4,FALSE)</f>
        <v>8800</v>
      </c>
      <c r="F29" s="31"/>
    </row>
    <row r="30" spans="3:6" x14ac:dyDescent="0.25">
      <c r="C30" s="36" t="s">
        <v>246</v>
      </c>
      <c r="D30" s="2">
        <f>VLOOKUP(C30, GLAccounts[],3,FALSE)</f>
        <v>0</v>
      </c>
      <c r="E30" s="2">
        <f>VLOOKUP(C30, GLAccounts[],4,FALSE)</f>
        <v>0</v>
      </c>
      <c r="F30" s="31"/>
    </row>
    <row r="31" spans="3:6" x14ac:dyDescent="0.25">
      <c r="C31" s="36" t="s">
        <v>248</v>
      </c>
      <c r="D31" s="2">
        <f>VLOOKUP(C31, GLAccounts[],3,FALSE)</f>
        <v>0</v>
      </c>
      <c r="E31" s="2">
        <f>VLOOKUP(C31, GLAccounts[],4,FALSE)</f>
        <v>0</v>
      </c>
      <c r="F31" s="31"/>
    </row>
    <row r="32" spans="3:6" s="3" customFormat="1" x14ac:dyDescent="0.25">
      <c r="C32" s="36" t="s">
        <v>411</v>
      </c>
      <c r="D32" s="2">
        <f>VLOOKUP(C32, GLAccounts[],3,FALSE)</f>
        <v>87378.33</v>
      </c>
      <c r="E32" s="2">
        <f>VLOOKUP(C32, GLAccounts[],4,FALSE)</f>
        <v>351805.22</v>
      </c>
    </row>
    <row r="33" spans="3:6" x14ac:dyDescent="0.25">
      <c r="C33" s="36" t="s">
        <v>412</v>
      </c>
      <c r="D33" s="2">
        <f>VLOOKUP(C33, GLAccounts[],3,FALSE)</f>
        <v>97198.8</v>
      </c>
      <c r="E33" s="2">
        <f>VLOOKUP(C33, GLAccounts[],4,FALSE)</f>
        <v>152652.29999999999</v>
      </c>
    </row>
    <row r="34" spans="3:6" x14ac:dyDescent="0.25">
      <c r="C34" s="36" t="s">
        <v>413</v>
      </c>
      <c r="D34" s="2">
        <f>VLOOKUP(C34, GLAccounts[],3,FALSE)</f>
        <v>95920.23</v>
      </c>
      <c r="E34" s="2">
        <f>VLOOKUP(C34, GLAccounts[],4,FALSE)</f>
        <v>362880.26</v>
      </c>
    </row>
    <row r="35" spans="3:6" x14ac:dyDescent="0.25">
      <c r="C35" s="36" t="s">
        <v>414</v>
      </c>
      <c r="D35" s="2">
        <f>VLOOKUP(C35, GLAccounts[],3,FALSE)</f>
        <v>17186.599999999999</v>
      </c>
      <c r="E35" s="2">
        <f>VLOOKUP(C35, GLAccounts[],4,FALSE)</f>
        <v>168879.8</v>
      </c>
    </row>
    <row r="36" spans="3:6" x14ac:dyDescent="0.25">
      <c r="C36" s="36" t="s">
        <v>415</v>
      </c>
      <c r="D36" s="2">
        <f>VLOOKUP(C36, GLAccounts[],3,FALSE)</f>
        <v>831.99</v>
      </c>
      <c r="E36" s="2">
        <f>VLOOKUP(C36, GLAccounts[],4,FALSE)</f>
        <v>38337.800000000003</v>
      </c>
    </row>
    <row r="37" spans="3:6" x14ac:dyDescent="0.25">
      <c r="C37" s="38" t="s">
        <v>627</v>
      </c>
      <c r="D37" s="34">
        <f>SUBTOTAL(9,D27:D36)</f>
        <v>312395.05999999994</v>
      </c>
      <c r="E37" s="34">
        <f>SUBTOTAL(9,E27:E36)</f>
        <v>1088434.49</v>
      </c>
    </row>
    <row r="38" spans="3:6" x14ac:dyDescent="0.25">
      <c r="C38" s="40" t="s">
        <v>628</v>
      </c>
      <c r="D38" s="30">
        <v>2305</v>
      </c>
      <c r="E38" s="30">
        <v>2305</v>
      </c>
    </row>
    <row r="39" spans="3:6" x14ac:dyDescent="0.25">
      <c r="C39" s="37"/>
      <c r="D39" s="30"/>
      <c r="E39" s="30"/>
    </row>
    <row r="40" spans="3:6" s="3" customFormat="1" ht="15.75" thickBot="1" x14ac:dyDescent="0.3">
      <c r="C40" s="63" t="s">
        <v>626</v>
      </c>
      <c r="D40" s="62">
        <f>SUBTOTAL(9,D27:D39)</f>
        <v>314700.05999999994</v>
      </c>
      <c r="E40" s="62">
        <f>SUBTOTAL(9,E27:E39)</f>
        <v>1090739.49</v>
      </c>
      <c r="F40" s="14"/>
    </row>
    <row r="41" spans="3:6" ht="15.75" thickTop="1" x14ac:dyDescent="0.25">
      <c r="C41" s="41"/>
      <c r="D41" s="59"/>
      <c r="E41" s="59"/>
    </row>
    <row r="42" spans="3:6" ht="15.75" thickBot="1" x14ac:dyDescent="0.3">
      <c r="C42" s="41" t="s">
        <v>629</v>
      </c>
      <c r="D42" s="15">
        <f>ROUND(D25-D40,2)</f>
        <v>0</v>
      </c>
      <c r="E42" s="15">
        <f>ROUND(E25-E40,2)</f>
        <v>0</v>
      </c>
    </row>
    <row r="43" spans="3:6" ht="15.75" thickTop="1" x14ac:dyDescent="0.25"/>
  </sheetData>
  <conditionalFormatting sqref="D22">
    <cfRule type="cellIs" dxfId="29" priority="3" operator="notEqual">
      <formula>0</formula>
    </cfRule>
  </conditionalFormatting>
  <conditionalFormatting sqref="D42:E42">
    <cfRule type="cellIs" dxfId="28" priority="2" operator="notEqual">
      <formula>0</formula>
    </cfRule>
  </conditionalFormatting>
  <conditionalFormatting sqref="E22">
    <cfRule type="cellIs" dxfId="27" priority="1" operator="notEqual">
      <formula>0</formula>
    </cfRule>
  </conditionalFormatting>
  <pageMargins left="0.25" right="0.25" top="0.75" bottom="0.75" header="0.3" footer="0.3"/>
  <pageSetup scale="76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42"/>
  <sheetViews>
    <sheetView showGridLines="0" showZeros="0" topLeftCell="A7" zoomScale="75" zoomScaleNormal="75" workbookViewId="0">
      <selection activeCell="E30" sqref="E30"/>
    </sheetView>
  </sheetViews>
  <sheetFormatPr defaultRowHeight="15" x14ac:dyDescent="0.25"/>
  <cols>
    <col min="1" max="2" width="5" style="31" customWidth="1"/>
    <col min="3" max="3" width="8.7109375" style="44" bestFit="1" customWidth="1"/>
    <col min="4" max="4" width="25.28515625" style="31" bestFit="1" customWidth="1"/>
    <col min="5" max="5" width="15.7109375" style="2" bestFit="1" customWidth="1"/>
    <col min="6" max="6" width="15.140625" style="2" bestFit="1" customWidth="1"/>
    <col min="7" max="7" width="15.7109375" style="2" bestFit="1" customWidth="1"/>
    <col min="8" max="16384" width="9.140625" style="31"/>
  </cols>
  <sheetData>
    <row r="2" spans="2:7" x14ac:dyDescent="0.25">
      <c r="B2" s="9" t="str">
        <f>'Setup Instructions'!B2</f>
        <v>Timberline Construction</v>
      </c>
    </row>
    <row r="3" spans="2:7" x14ac:dyDescent="0.25">
      <c r="B3" s="9" t="str">
        <f>'Setup Instructions'!B3</f>
        <v>Sample Month End WIP Schedule</v>
      </c>
    </row>
    <row r="4" spans="2:7" x14ac:dyDescent="0.25">
      <c r="B4" s="9" t="s">
        <v>631</v>
      </c>
    </row>
    <row r="5" spans="2:7" x14ac:dyDescent="0.25">
      <c r="B5" s="9"/>
    </row>
    <row r="6" spans="2:7" x14ac:dyDescent="0.25">
      <c r="B6" s="9"/>
    </row>
    <row r="7" spans="2:7" x14ac:dyDescent="0.25">
      <c r="B7" s="9"/>
      <c r="D7" s="31" t="s">
        <v>638</v>
      </c>
      <c r="E7" s="48" t="str">
        <f>JobCostControls[Current_Month]</f>
        <v>May</v>
      </c>
    </row>
    <row r="8" spans="2:7" x14ac:dyDescent="0.25">
      <c r="B8" s="9"/>
      <c r="D8" s="31" t="s">
        <v>639</v>
      </c>
      <c r="E8" s="48">
        <f>VLOOKUP("10",GLCompany[],4,FALSE)</f>
        <v>42155</v>
      </c>
    </row>
    <row r="9" spans="2:7" x14ac:dyDescent="0.25">
      <c r="B9" s="9"/>
    </row>
    <row r="11" spans="2:7" x14ac:dyDescent="0.25">
      <c r="C11" s="45"/>
      <c r="D11" s="42"/>
      <c r="E11" s="29" t="s">
        <v>632</v>
      </c>
      <c r="F11" s="29" t="s">
        <v>634</v>
      </c>
      <c r="G11" s="29" t="s">
        <v>60</v>
      </c>
    </row>
    <row r="12" spans="2:7" x14ac:dyDescent="0.25">
      <c r="C12" s="46"/>
      <c r="D12" s="43"/>
      <c r="E12" s="28" t="s">
        <v>633</v>
      </c>
      <c r="F12" s="28" t="s">
        <v>635</v>
      </c>
      <c r="G12" s="28" t="s">
        <v>633</v>
      </c>
    </row>
    <row r="13" spans="2:7" x14ac:dyDescent="0.25">
      <c r="C13" s="37" t="s">
        <v>125</v>
      </c>
      <c r="D13" s="31" t="str">
        <f>VLOOKUP(C13,GLAccounts[],2,FALSE)</f>
        <v>Cost in Excess of Billings</v>
      </c>
      <c r="E13" s="2">
        <f>VLOOKUP(C13,GLAccounts[],4,FALSE)</f>
        <v>0</v>
      </c>
    </row>
    <row r="14" spans="2:7" x14ac:dyDescent="0.25">
      <c r="C14" s="37" t="s">
        <v>354</v>
      </c>
      <c r="D14" s="31" t="str">
        <f>VLOOKUP(C14,GLAccounts[],2,FALSE)</f>
        <v>Cost in Excess of Billings</v>
      </c>
      <c r="E14" s="2">
        <f>VLOOKUP(C14,GLAccounts[],4,FALSE)</f>
        <v>15322.44</v>
      </c>
    </row>
    <row r="15" spans="2:7" x14ac:dyDescent="0.25">
      <c r="C15" s="37" t="s">
        <v>477</v>
      </c>
      <c r="D15" s="31" t="str">
        <f>VLOOKUP(C15,GLAccounts[],2,FALSE)</f>
        <v>Cost in Excess of Billings</v>
      </c>
      <c r="E15" s="2">
        <f>VLOOKUP(C15,GLAccounts[],4,FALSE)</f>
        <v>0</v>
      </c>
    </row>
    <row r="16" spans="2:7" x14ac:dyDescent="0.25">
      <c r="E16" s="47">
        <f>SUBTOTAL(9,E13:E15)</f>
        <v>15322.44</v>
      </c>
      <c r="F16" s="35">
        <f>G16-E16</f>
        <v>172628.7</v>
      </c>
      <c r="G16" s="35">
        <f>'WIP Schedule'!P22</f>
        <v>187951.14</v>
      </c>
    </row>
    <row r="18" spans="3:7" x14ac:dyDescent="0.25">
      <c r="C18" s="37" t="s">
        <v>193</v>
      </c>
      <c r="D18" s="31" t="str">
        <f>VLOOKUP(C18,GLAccounts[],2,FALSE)</f>
        <v>Billings in Excess of Cost</v>
      </c>
      <c r="E18" s="2">
        <f>VLOOKUP(C18,GLAccounts[],4,FALSE)</f>
        <v>0</v>
      </c>
    </row>
    <row r="19" spans="3:7" x14ac:dyDescent="0.25">
      <c r="C19" s="37" t="s">
        <v>388</v>
      </c>
      <c r="D19" s="31" t="str">
        <f>VLOOKUP(C19,GLAccounts[],2,FALSE)</f>
        <v>Billings in Excess of Cost</v>
      </c>
      <c r="E19" s="2">
        <f>VLOOKUP(C19,GLAccounts[],4,FALSE)</f>
        <v>0</v>
      </c>
    </row>
    <row r="20" spans="3:7" x14ac:dyDescent="0.25">
      <c r="C20" s="37" t="s">
        <v>510</v>
      </c>
      <c r="D20" s="31" t="str">
        <f>VLOOKUP(C20,GLAccounts[],2,FALSE)</f>
        <v>Billings in Excess of Cost</v>
      </c>
      <c r="E20" s="2">
        <f>VLOOKUP(C20,GLAccounts[],4,FALSE)</f>
        <v>0</v>
      </c>
    </row>
    <row r="21" spans="3:7" x14ac:dyDescent="0.25">
      <c r="E21" s="47">
        <f>SUBTOTAL(9,E18:E20)</f>
        <v>0</v>
      </c>
      <c r="F21" s="35">
        <f>G21-E21</f>
        <v>-45283.39999999998</v>
      </c>
      <c r="G21" s="35">
        <f>-'WIP Schedule'!O22</f>
        <v>-45283.39999999998</v>
      </c>
    </row>
    <row r="23" spans="3:7" x14ac:dyDescent="0.25">
      <c r="C23" s="36" t="s">
        <v>56</v>
      </c>
      <c r="D23" s="31" t="str">
        <f>VLOOKUP(C23,GLAccounts[],2,FALSE)</f>
        <v>Income</v>
      </c>
      <c r="E23" s="2">
        <f>VLOOKUP(C23,GLAccounts[],4,FALSE)</f>
        <v>-122110</v>
      </c>
    </row>
    <row r="24" spans="3:7" x14ac:dyDescent="0.25">
      <c r="C24" s="37" t="s">
        <v>57</v>
      </c>
      <c r="D24" s="31" t="str">
        <f>VLOOKUP(C24,GLAccounts[],2,FALSE)</f>
        <v>Income</v>
      </c>
      <c r="E24" s="2">
        <f>VLOOKUP(C24,GLAccounts[],4,FALSE)</f>
        <v>-931620.8</v>
      </c>
    </row>
    <row r="25" spans="3:7" x14ac:dyDescent="0.25">
      <c r="C25" s="37"/>
      <c r="D25" s="5" t="s">
        <v>636</v>
      </c>
      <c r="E25" s="30"/>
    </row>
    <row r="26" spans="3:7" x14ac:dyDescent="0.25">
      <c r="E26" s="47">
        <f>SUBTOTAL(9,E23:E25)</f>
        <v>-1053730.8</v>
      </c>
      <c r="F26" s="35">
        <f>G26-E26</f>
        <v>-127345.30000000005</v>
      </c>
      <c r="G26" s="35">
        <f>-'WIP Schedule'!AL22</f>
        <v>-1181076.1000000001</v>
      </c>
    </row>
    <row r="28" spans="3:7" x14ac:dyDescent="0.25">
      <c r="C28" s="36" t="s">
        <v>240</v>
      </c>
      <c r="D28" s="31" t="str">
        <f>VLOOKUP(C28,GLAccounts[],2,FALSE)</f>
        <v>Cost of Sales - Labor</v>
      </c>
      <c r="E28" s="2">
        <f>VLOOKUP(C28,GLAccounts[],4,FALSE)</f>
        <v>2579.11</v>
      </c>
    </row>
    <row r="29" spans="3:7" x14ac:dyDescent="0.25">
      <c r="C29" s="36" t="s">
        <v>242</v>
      </c>
      <c r="D29" s="31" t="str">
        <f>VLOOKUP(C29,GLAccounts[],2,FALSE)</f>
        <v>Cost of Sales - Subcontract</v>
      </c>
      <c r="E29" s="2">
        <f>VLOOKUP(C29,GLAccounts[],4,FALSE)</f>
        <v>2500</v>
      </c>
    </row>
    <row r="30" spans="3:7" x14ac:dyDescent="0.25">
      <c r="C30" s="36" t="s">
        <v>244</v>
      </c>
      <c r="D30" s="31" t="str">
        <f>VLOOKUP(C30,GLAccounts[],2,FALSE)</f>
        <v>Cost of Sales - Materials</v>
      </c>
      <c r="E30" s="2">
        <f>VLOOKUP(C30,GLAccounts[],4,FALSE)</f>
        <v>8800</v>
      </c>
    </row>
    <row r="31" spans="3:7" x14ac:dyDescent="0.25">
      <c r="C31" s="36" t="s">
        <v>246</v>
      </c>
      <c r="D31" s="31" t="str">
        <f>VLOOKUP(C31,GLAccounts[],2,FALSE)</f>
        <v>Cost of Sales - Equipment</v>
      </c>
      <c r="E31" s="2">
        <f>VLOOKUP(C31,GLAccounts[],4,FALSE)</f>
        <v>0</v>
      </c>
    </row>
    <row r="32" spans="3:7" x14ac:dyDescent="0.25">
      <c r="C32" s="36" t="s">
        <v>248</v>
      </c>
      <c r="D32" s="31" t="str">
        <f>VLOOKUP(C32,GLAccounts[],2,FALSE)</f>
        <v>Cost of Sales - Other</v>
      </c>
      <c r="E32" s="2">
        <f>VLOOKUP(C32,GLAccounts[],4,FALSE)</f>
        <v>0</v>
      </c>
    </row>
    <row r="33" spans="3:7" x14ac:dyDescent="0.25">
      <c r="C33" s="36" t="s">
        <v>411</v>
      </c>
      <c r="D33" s="31" t="str">
        <f>VLOOKUP(C33,GLAccounts[],2,FALSE)</f>
        <v>Cost of Sales - Labor</v>
      </c>
      <c r="E33" s="2">
        <f>VLOOKUP(C33,GLAccounts[],4,FALSE)</f>
        <v>351805.22</v>
      </c>
    </row>
    <row r="34" spans="3:7" x14ac:dyDescent="0.25">
      <c r="C34" s="36" t="s">
        <v>412</v>
      </c>
      <c r="D34" s="31" t="str">
        <f>VLOOKUP(C34,GLAccounts[],2,FALSE)</f>
        <v>Cost of Sales - Subcontract</v>
      </c>
      <c r="E34" s="2">
        <f>VLOOKUP(C34,GLAccounts[],4,FALSE)</f>
        <v>152652.29999999999</v>
      </c>
    </row>
    <row r="35" spans="3:7" x14ac:dyDescent="0.25">
      <c r="C35" s="36" t="s">
        <v>413</v>
      </c>
      <c r="D35" s="31" t="str">
        <f>VLOOKUP(C35,GLAccounts[],2,FALSE)</f>
        <v>Cost of Sales - Materials</v>
      </c>
      <c r="E35" s="2">
        <f>VLOOKUP(C35,GLAccounts[],4,FALSE)</f>
        <v>362880.26</v>
      </c>
    </row>
    <row r="36" spans="3:7" x14ac:dyDescent="0.25">
      <c r="C36" s="36" t="s">
        <v>414</v>
      </c>
      <c r="D36" s="31" t="str">
        <f>VLOOKUP(C36,GLAccounts[],2,FALSE)</f>
        <v>Cost of Sales - Equipment</v>
      </c>
      <c r="E36" s="2">
        <f>VLOOKUP(C36,GLAccounts[],4,FALSE)</f>
        <v>168879.8</v>
      </c>
    </row>
    <row r="37" spans="3:7" x14ac:dyDescent="0.25">
      <c r="C37" s="36" t="s">
        <v>415</v>
      </c>
      <c r="D37" s="31" t="str">
        <f>VLOOKUP(C37,GLAccounts[],2,FALSE)</f>
        <v>Cost of Sales - Other</v>
      </c>
      <c r="E37" s="2">
        <f>VLOOKUP(C37,GLAccounts[],4,FALSE)</f>
        <v>38337.800000000003</v>
      </c>
    </row>
    <row r="38" spans="3:7" x14ac:dyDescent="0.25">
      <c r="C38" s="37"/>
      <c r="D38" s="5" t="s">
        <v>637</v>
      </c>
      <c r="E38" s="30">
        <v>2305</v>
      </c>
    </row>
    <row r="39" spans="3:7" x14ac:dyDescent="0.25">
      <c r="E39" s="47">
        <f>SUBTOTAL(9,E28:E38)</f>
        <v>1090739.49</v>
      </c>
      <c r="F39" s="35">
        <f>G39-E39</f>
        <v>0</v>
      </c>
      <c r="G39" s="35">
        <f>-'WIP Schedule'!AM22</f>
        <v>1090739.4900000002</v>
      </c>
    </row>
    <row r="41" spans="3:7" ht="15.75" thickBot="1" x14ac:dyDescent="0.3">
      <c r="D41" s="31" t="s">
        <v>629</v>
      </c>
      <c r="F41" s="15">
        <f>SUBTOTAL(9,F13:F40)</f>
        <v>-1.4551915228366852E-11</v>
      </c>
    </row>
    <row r="42" spans="3:7" ht="15.75" thickTop="1" x14ac:dyDescent="0.25"/>
  </sheetData>
  <pageMargins left="0.7" right="0.7" top="0.75" bottom="0.75" header="0.3" footer="0.3"/>
  <pageSetup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V44"/>
  <sheetViews>
    <sheetView showGridLines="0" showZeros="0" zoomScale="80" zoomScaleNormal="8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J31" sqref="J31"/>
    </sheetView>
  </sheetViews>
  <sheetFormatPr defaultRowHeight="15" x14ac:dyDescent="0.25"/>
  <cols>
    <col min="1" max="2" width="5" customWidth="1"/>
    <col min="3" max="3" width="7.28515625" customWidth="1"/>
    <col min="4" max="4" width="29.85546875" customWidth="1"/>
    <col min="5" max="5" width="12.140625" customWidth="1"/>
    <col min="6" max="8" width="14.42578125" style="2" bestFit="1" customWidth="1"/>
    <col min="9" max="9" width="12.7109375" style="2" bestFit="1" customWidth="1"/>
    <col min="10" max="10" width="14.42578125" style="2" bestFit="1" customWidth="1"/>
    <col min="11" max="11" width="12.7109375" style="2" bestFit="1" customWidth="1"/>
    <col min="12" max="12" width="14.42578125" style="2" bestFit="1" customWidth="1"/>
    <col min="13" max="13" width="5.7109375" style="52" customWidth="1"/>
    <col min="14" max="14" width="11.28515625" style="6" customWidth="1"/>
    <col min="15" max="15" width="10.85546875" style="6" bestFit="1" customWidth="1"/>
    <col min="16" max="16" width="12.7109375" style="6" bestFit="1" customWidth="1"/>
    <col min="17" max="17" width="14.42578125" style="8" bestFit="1" customWidth="1"/>
    <col min="18" max="18" width="12.7109375" style="8" bestFit="1" customWidth="1"/>
    <col min="19" max="19" width="14.42578125" style="8" bestFit="1" customWidth="1"/>
    <col min="20" max="20" width="17.85546875" style="8" customWidth="1"/>
    <col min="21" max="21" width="13.5703125" style="7" bestFit="1" customWidth="1"/>
    <col min="22" max="22" width="13.5703125" style="14" bestFit="1" customWidth="1"/>
    <col min="23" max="23" width="13.5703125" bestFit="1" customWidth="1"/>
  </cols>
  <sheetData>
    <row r="2" spans="2:22" s="9" customFormat="1" x14ac:dyDescent="0.25">
      <c r="B2" s="9" t="s">
        <v>44</v>
      </c>
      <c r="F2" s="1"/>
      <c r="G2" s="1"/>
      <c r="H2" s="1"/>
      <c r="I2" s="1"/>
      <c r="J2" s="1"/>
      <c r="K2" s="1"/>
      <c r="L2" s="1"/>
      <c r="M2" s="51"/>
      <c r="N2" s="11"/>
      <c r="O2" s="11"/>
      <c r="P2" s="11"/>
      <c r="Q2" s="12"/>
      <c r="R2" s="12"/>
      <c r="S2" s="12"/>
      <c r="T2" s="12"/>
      <c r="U2" s="10"/>
      <c r="V2" s="13"/>
    </row>
    <row r="3" spans="2:22" s="9" customFormat="1" x14ac:dyDescent="0.25">
      <c r="B3" s="9" t="s">
        <v>630</v>
      </c>
      <c r="F3" s="1"/>
      <c r="G3" s="1"/>
      <c r="H3" s="1"/>
      <c r="I3" s="1"/>
      <c r="J3" s="1"/>
      <c r="K3" s="1"/>
      <c r="L3" s="1"/>
      <c r="M3" s="51"/>
      <c r="N3" s="11"/>
      <c r="O3" s="11"/>
      <c r="P3" s="11"/>
      <c r="Q3" s="12"/>
      <c r="R3" s="12"/>
      <c r="S3" s="12"/>
      <c r="T3" s="12"/>
      <c r="U3" s="10"/>
      <c r="V3" s="13"/>
    </row>
    <row r="5" spans="2:22" x14ac:dyDescent="0.25">
      <c r="C5" s="43" t="s">
        <v>0</v>
      </c>
      <c r="D5" s="43" t="s">
        <v>2</v>
      </c>
      <c r="E5" s="43" t="s">
        <v>45</v>
      </c>
      <c r="F5" s="54" t="s">
        <v>48</v>
      </c>
      <c r="G5" s="54" t="s">
        <v>50</v>
      </c>
      <c r="H5" s="54" t="s">
        <v>51</v>
      </c>
      <c r="I5" s="54" t="s">
        <v>52</v>
      </c>
      <c r="J5" s="54" t="s">
        <v>53</v>
      </c>
      <c r="K5" s="54" t="s">
        <v>54</v>
      </c>
      <c r="L5" s="54" t="s">
        <v>55</v>
      </c>
      <c r="M5" s="54" t="s">
        <v>640</v>
      </c>
    </row>
    <row r="6" spans="2:22" hidden="1" x14ac:dyDescent="0.25">
      <c r="C6" s="42" t="s">
        <v>0</v>
      </c>
      <c r="D6" s="42" t="s">
        <v>2</v>
      </c>
      <c r="E6" s="42" t="s">
        <v>45</v>
      </c>
      <c r="F6" s="26" t="s">
        <v>641</v>
      </c>
      <c r="G6" s="26" t="s">
        <v>642</v>
      </c>
      <c r="H6" s="26" t="s">
        <v>643</v>
      </c>
      <c r="I6" s="26" t="s">
        <v>644</v>
      </c>
      <c r="J6" s="26" t="s">
        <v>645</v>
      </c>
      <c r="K6" s="26" t="s">
        <v>646</v>
      </c>
      <c r="L6" s="26" t="s">
        <v>647</v>
      </c>
      <c r="M6" s="55" t="s">
        <v>648</v>
      </c>
      <c r="N6"/>
      <c r="O6"/>
      <c r="P6"/>
      <c r="Q6"/>
      <c r="R6"/>
      <c r="S6"/>
      <c r="T6"/>
      <c r="U6"/>
      <c r="V6"/>
    </row>
    <row r="7" spans="2:22" x14ac:dyDescent="0.25">
      <c r="C7" s="42" t="s">
        <v>1</v>
      </c>
      <c r="D7" s="42" t="s">
        <v>3</v>
      </c>
      <c r="E7" s="42" t="s">
        <v>46</v>
      </c>
      <c r="F7" s="26">
        <v>2640695</v>
      </c>
      <c r="G7" s="26">
        <v>885800</v>
      </c>
      <c r="H7" s="26">
        <v>757152.25</v>
      </c>
      <c r="I7" s="26">
        <v>133900</v>
      </c>
      <c r="J7" s="26">
        <v>885800</v>
      </c>
      <c r="K7" s="26">
        <v>123141.04</v>
      </c>
      <c r="L7" s="26">
        <v>757152.25</v>
      </c>
      <c r="M7" s="55">
        <f>COUNTIF('WIP Schedule'!$C:$C,ActiveJobs[[#This Row],[Job]])</f>
        <v>1</v>
      </c>
      <c r="N7"/>
      <c r="T7"/>
      <c r="U7"/>
      <c r="V7"/>
    </row>
    <row r="8" spans="2:22" x14ac:dyDescent="0.25">
      <c r="C8" s="42" t="s">
        <v>18</v>
      </c>
      <c r="D8" s="42" t="s">
        <v>28</v>
      </c>
      <c r="E8" s="42" t="s">
        <v>46</v>
      </c>
      <c r="F8" s="26">
        <v>897210.2</v>
      </c>
      <c r="G8" s="26">
        <v>122000</v>
      </c>
      <c r="H8" s="26">
        <v>170558.04</v>
      </c>
      <c r="I8" s="26">
        <v>0</v>
      </c>
      <c r="J8" s="26">
        <v>122000</v>
      </c>
      <c r="K8" s="26">
        <v>44345.9</v>
      </c>
      <c r="L8" s="26">
        <v>170558.04</v>
      </c>
      <c r="M8" s="55">
        <f>COUNTIF('WIP Schedule'!$C:$C,ActiveJobs[[#This Row],[Job]])</f>
        <v>1</v>
      </c>
      <c r="N8"/>
      <c r="T8"/>
      <c r="U8"/>
      <c r="V8"/>
    </row>
    <row r="9" spans="2:22" s="3" customFormat="1" x14ac:dyDescent="0.25">
      <c r="C9" s="56" t="s">
        <v>19</v>
      </c>
      <c r="D9" s="56" t="s">
        <v>29</v>
      </c>
      <c r="E9" s="56" t="s">
        <v>46</v>
      </c>
      <c r="F9" s="57">
        <v>479300</v>
      </c>
      <c r="G9" s="57">
        <v>41425</v>
      </c>
      <c r="H9" s="57">
        <v>148440.09</v>
      </c>
      <c r="I9" s="57">
        <v>25050</v>
      </c>
      <c r="J9" s="57">
        <v>41425</v>
      </c>
      <c r="K9" s="57">
        <v>132624.01</v>
      </c>
      <c r="L9" s="57">
        <v>148440.09</v>
      </c>
      <c r="M9" s="58">
        <f>COUNTIF('WIP Schedule'!$C:$C,ActiveJobs[[#This Row],[Job]])</f>
        <v>1</v>
      </c>
    </row>
    <row r="10" spans="2:22" x14ac:dyDescent="0.25">
      <c r="C10" s="42" t="s">
        <v>20</v>
      </c>
      <c r="D10" s="42" t="s">
        <v>30</v>
      </c>
      <c r="E10" s="42" t="s">
        <v>47</v>
      </c>
      <c r="F10" s="26">
        <v>18000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55">
        <f>COUNTIF('WIP Schedule'!$C:$C,ActiveJobs[[#This Row],[Job]])</f>
        <v>1</v>
      </c>
    </row>
    <row r="11" spans="2:22" s="31" customFormat="1" x14ac:dyDescent="0.25">
      <c r="C11" s="31" t="s">
        <v>21</v>
      </c>
      <c r="D11" s="31" t="s">
        <v>31</v>
      </c>
      <c r="E11" s="31" t="s">
        <v>47</v>
      </c>
      <c r="F11" s="2">
        <v>18000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53">
        <f>COUNTIF('WIP Schedule'!$C:$C,ActiveJobs[[#This Row],[Job]])</f>
        <v>1</v>
      </c>
      <c r="N11" s="6"/>
      <c r="T11" s="8"/>
      <c r="U11" s="7"/>
      <c r="V11" s="14"/>
    </row>
    <row r="12" spans="2:22" x14ac:dyDescent="0.25">
      <c r="C12" s="31" t="s">
        <v>22</v>
      </c>
      <c r="D12" s="31" t="s">
        <v>32</v>
      </c>
      <c r="E12" s="31" t="s">
        <v>46</v>
      </c>
      <c r="F12" s="2">
        <v>0</v>
      </c>
      <c r="G12" s="2">
        <v>110</v>
      </c>
      <c r="H12" s="2">
        <v>14589.11</v>
      </c>
      <c r="I12" s="2">
        <v>110</v>
      </c>
      <c r="J12" s="2">
        <v>110</v>
      </c>
      <c r="K12" s="2">
        <v>14589.11</v>
      </c>
      <c r="L12" s="2">
        <v>14589.11</v>
      </c>
      <c r="M12" s="53">
        <f>COUNTIF('WIP Schedule'!$C:$C,ActiveJobs[[#This Row],[Job]])</f>
        <v>1</v>
      </c>
    </row>
    <row r="13" spans="2:22" x14ac:dyDescent="0.25">
      <c r="C13" s="31" t="s">
        <v>33</v>
      </c>
      <c r="D13" s="31" t="s">
        <v>34</v>
      </c>
      <c r="E13" s="31" t="s">
        <v>47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53">
        <f>COUNTIF('WIP Schedule'!$C:$C,ActiveJobs[[#This Row],[Job]])</f>
        <v>1</v>
      </c>
    </row>
    <row r="14" spans="2:22" s="31" customFormat="1" x14ac:dyDescent="0.25">
      <c r="C14" s="31" t="s">
        <v>35</v>
      </c>
      <c r="D14" s="31" t="s">
        <v>36</v>
      </c>
      <c r="E14" s="31" t="s">
        <v>46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53">
        <f>COUNTIF('WIP Schedule'!$C:$C,ActiveJobs[[#This Row],[Job]])</f>
        <v>1</v>
      </c>
      <c r="N14" s="6"/>
      <c r="T14" s="8"/>
      <c r="U14" s="7"/>
      <c r="V14" s="14"/>
    </row>
    <row r="15" spans="2:22" s="31" customFormat="1" x14ac:dyDescent="0.25">
      <c r="C15" s="31" t="s">
        <v>23</v>
      </c>
      <c r="D15" s="31" t="s">
        <v>37</v>
      </c>
      <c r="E15" s="31" t="s">
        <v>47</v>
      </c>
      <c r="F15" s="2">
        <v>160495</v>
      </c>
      <c r="G15" s="2">
        <v>131.5</v>
      </c>
      <c r="H15" s="2">
        <v>0</v>
      </c>
      <c r="I15" s="2">
        <v>131.5</v>
      </c>
      <c r="J15" s="2">
        <v>131.5</v>
      </c>
      <c r="K15" s="2">
        <v>0</v>
      </c>
      <c r="L15" s="2">
        <v>0</v>
      </c>
      <c r="M15" s="53">
        <f>COUNTIF('WIP Schedule'!$C:$C,ActiveJobs[[#This Row],[Job]])</f>
        <v>1</v>
      </c>
      <c r="N15" s="6"/>
      <c r="T15" s="8"/>
      <c r="U15" s="7"/>
      <c r="V15" s="14"/>
    </row>
    <row r="16" spans="2:22" s="31" customFormat="1" x14ac:dyDescent="0.25">
      <c r="C16" s="31" t="s">
        <v>24</v>
      </c>
      <c r="D16" s="31" t="s">
        <v>38</v>
      </c>
      <c r="E16" s="31" t="s">
        <v>47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53">
        <f>COUNTIF('WIP Schedule'!$C:$C,ActiveJobs[[#This Row],[Job]])</f>
        <v>1</v>
      </c>
      <c r="N16" s="6"/>
      <c r="T16" s="8"/>
      <c r="U16" s="7"/>
      <c r="V16" s="14"/>
    </row>
    <row r="17" spans="3:22" x14ac:dyDescent="0.25">
      <c r="C17" s="31" t="s">
        <v>25</v>
      </c>
      <c r="D17" s="31" t="s">
        <v>39</v>
      </c>
      <c r="E17" s="31" t="s">
        <v>47</v>
      </c>
      <c r="F17" s="2">
        <v>0</v>
      </c>
      <c r="G17" s="2">
        <v>1000</v>
      </c>
      <c r="H17" s="2">
        <v>0</v>
      </c>
      <c r="I17" s="2">
        <v>1000</v>
      </c>
      <c r="J17" s="2">
        <v>1000</v>
      </c>
      <c r="K17" s="2">
        <v>0</v>
      </c>
      <c r="L17" s="2">
        <v>0</v>
      </c>
      <c r="M17" s="53">
        <f>COUNTIF('WIP Schedule'!$C:$C,ActiveJobs[[#This Row],[Job]])</f>
        <v>1</v>
      </c>
    </row>
    <row r="18" spans="3:22" s="31" customFormat="1" x14ac:dyDescent="0.25">
      <c r="C18" s="31" t="s">
        <v>26</v>
      </c>
      <c r="D18" s="31" t="s">
        <v>40</v>
      </c>
      <c r="E18" s="31" t="s">
        <v>47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53">
        <f>COUNTIF('WIP Schedule'!$C:$C,ActiveJobs[[#This Row],[Job]])</f>
        <v>1</v>
      </c>
      <c r="N18" s="6"/>
      <c r="T18" s="8"/>
      <c r="U18" s="7"/>
      <c r="V18" s="14"/>
    </row>
    <row r="19" spans="3:22" s="31" customFormat="1" x14ac:dyDescent="0.25">
      <c r="C19" s="31" t="s">
        <v>41</v>
      </c>
      <c r="D19" s="31" t="s">
        <v>42</v>
      </c>
      <c r="E19" s="31" t="s">
        <v>47</v>
      </c>
      <c r="F19" s="2">
        <v>0</v>
      </c>
      <c r="G19" s="2">
        <v>3264.3</v>
      </c>
      <c r="H19" s="2">
        <v>0</v>
      </c>
      <c r="I19" s="2">
        <v>3264.3</v>
      </c>
      <c r="J19" s="2">
        <v>3264.3</v>
      </c>
      <c r="K19" s="2">
        <v>0</v>
      </c>
      <c r="L19" s="2">
        <v>0</v>
      </c>
      <c r="M19" s="53">
        <f>COUNTIF('WIP Schedule'!$C:$C,ActiveJobs[[#This Row],[Job]])</f>
        <v>1</v>
      </c>
      <c r="N19" s="6"/>
      <c r="T19" s="8"/>
      <c r="U19" s="7"/>
      <c r="V19" s="14"/>
    </row>
    <row r="20" spans="3:22" x14ac:dyDescent="0.25">
      <c r="C20" s="31" t="s">
        <v>27</v>
      </c>
      <c r="D20" s="31" t="s">
        <v>43</v>
      </c>
      <c r="E20" s="31" t="s">
        <v>47</v>
      </c>
      <c r="F20" s="2">
        <v>831930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53">
        <f>COUNTIF('WIP Schedule'!$C:$C,ActiveJobs[[#This Row],[Job]])</f>
        <v>1</v>
      </c>
    </row>
    <row r="21" spans="3:22" x14ac:dyDescent="0.25">
      <c r="C21" s="66"/>
      <c r="D21" s="66"/>
      <c r="E21" s="66" t="s">
        <v>626</v>
      </c>
      <c r="F21" s="67">
        <f>SUBTOTAL(109,ActiveJobs[EXPR_1])</f>
        <v>5045630.2</v>
      </c>
      <c r="G21" s="2">
        <f>SUBTOTAL(109,ActiveJobs[EXPR_2])</f>
        <v>1053730.8</v>
      </c>
      <c r="H21" s="2">
        <f>SUBTOTAL(109,ActiveJobs[EXPR_3])</f>
        <v>1090739.4900000002</v>
      </c>
      <c r="I21" s="67">
        <f>SUBTOTAL(109,ActiveJobs[EXPR_4])</f>
        <v>163455.79999999999</v>
      </c>
      <c r="J21" s="67">
        <f>SUBTOTAL(109,ActiveJobs[EXPR_5])</f>
        <v>1053730.8</v>
      </c>
      <c r="K21" s="67">
        <f>SUBTOTAL(109,ActiveJobs[EXPR_6])</f>
        <v>314700.06</v>
      </c>
      <c r="L21" s="67">
        <f>SUBTOTAL(109,ActiveJobs[EXPR_7])</f>
        <v>1090739.4900000002</v>
      </c>
      <c r="M21" s="68"/>
    </row>
    <row r="22" spans="3:22" x14ac:dyDescent="0.25">
      <c r="C22" s="31"/>
      <c r="D22" s="31"/>
      <c r="E22" s="31"/>
      <c r="F22" s="33"/>
      <c r="G22" s="33"/>
    </row>
    <row r="24" spans="3:22" x14ac:dyDescent="0.25">
      <c r="H24" s="31"/>
      <c r="I24" s="31"/>
      <c r="J24" s="31"/>
      <c r="K24" s="31"/>
      <c r="L24" s="31"/>
    </row>
    <row r="25" spans="3:22" x14ac:dyDescent="0.25">
      <c r="C25" s="31"/>
      <c r="D25" s="31"/>
      <c r="E25" s="31"/>
      <c r="G25" s="31"/>
      <c r="H25" s="31"/>
      <c r="I25" s="31"/>
      <c r="J25" s="31"/>
      <c r="K25" s="31"/>
      <c r="L25" s="31"/>
    </row>
    <row r="26" spans="3:22" x14ac:dyDescent="0.25">
      <c r="C26" s="31"/>
      <c r="D26" s="31"/>
      <c r="E26" s="31"/>
      <c r="G26" s="31"/>
      <c r="H26" s="31"/>
      <c r="I26" s="31"/>
      <c r="J26" s="31"/>
      <c r="K26" s="31"/>
      <c r="L26" s="31"/>
    </row>
    <row r="27" spans="3:22" x14ac:dyDescent="0.25">
      <c r="C27" s="31"/>
      <c r="D27" s="31"/>
      <c r="E27" s="31"/>
    </row>
    <row r="28" spans="3:22" x14ac:dyDescent="0.25">
      <c r="G28" s="31"/>
      <c r="H28" s="31"/>
      <c r="I28" s="31"/>
      <c r="J28" s="31"/>
      <c r="K28" s="31"/>
      <c r="L28" s="31"/>
    </row>
    <row r="29" spans="3:22" x14ac:dyDescent="0.25">
      <c r="C29" s="31"/>
      <c r="D29" s="31"/>
      <c r="E29" s="31"/>
      <c r="G29" s="31"/>
      <c r="H29" s="31"/>
      <c r="I29" s="31"/>
      <c r="J29" s="31"/>
      <c r="K29" s="31"/>
      <c r="L29" s="31"/>
    </row>
    <row r="30" spans="3:22" s="31" customFormat="1" x14ac:dyDescent="0.25">
      <c r="F30" s="2"/>
      <c r="G30" s="2"/>
      <c r="H30" s="2"/>
      <c r="I30" s="2"/>
      <c r="J30" s="2"/>
      <c r="K30" s="2"/>
      <c r="L30" s="2"/>
      <c r="M30" s="52"/>
      <c r="N30" s="6"/>
      <c r="O30" s="6"/>
      <c r="P30" s="6"/>
      <c r="Q30" s="8"/>
      <c r="R30" s="8"/>
      <c r="S30" s="8"/>
      <c r="T30" s="8"/>
      <c r="U30" s="7"/>
      <c r="V30" s="14"/>
    </row>
    <row r="31" spans="3:22" s="31" customFormat="1" x14ac:dyDescent="0.25">
      <c r="C31"/>
      <c r="D31"/>
      <c r="E31"/>
      <c r="F31" s="2"/>
      <c r="G31" s="2"/>
      <c r="H31" s="2"/>
      <c r="I31" s="2"/>
      <c r="J31" s="2"/>
      <c r="K31" s="2"/>
      <c r="L31" s="2"/>
      <c r="M31" s="52"/>
      <c r="N31" s="6"/>
      <c r="O31" s="6"/>
      <c r="P31" s="6"/>
      <c r="Q31" s="8"/>
      <c r="R31" s="8"/>
      <c r="S31" s="8"/>
      <c r="T31" s="8"/>
      <c r="U31" s="7"/>
      <c r="V31" s="14"/>
    </row>
    <row r="32" spans="3:22" s="31" customFormat="1" x14ac:dyDescent="0.25">
      <c r="C32"/>
      <c r="D32"/>
      <c r="E32"/>
      <c r="F32" s="2"/>
      <c r="G32" s="2"/>
      <c r="H32" s="2"/>
      <c r="I32" s="2"/>
      <c r="J32" s="2"/>
      <c r="K32" s="2"/>
      <c r="L32" s="2"/>
      <c r="M32" s="52"/>
      <c r="N32" s="6"/>
      <c r="O32" s="6"/>
      <c r="P32" s="6"/>
      <c r="Q32" s="8"/>
      <c r="R32" s="8"/>
      <c r="S32" s="8"/>
      <c r="T32" s="8"/>
      <c r="U32" s="7"/>
      <c r="V32" s="14"/>
    </row>
    <row r="33" spans="3:22" s="31" customFormat="1" x14ac:dyDescent="0.25">
      <c r="C33"/>
      <c r="D33"/>
      <c r="E33"/>
      <c r="F33" s="2"/>
      <c r="G33" s="2"/>
      <c r="H33" s="2"/>
      <c r="I33" s="2"/>
      <c r="J33" s="2"/>
      <c r="K33" s="2"/>
      <c r="L33" s="2"/>
      <c r="M33" s="52"/>
      <c r="N33" s="6"/>
      <c r="O33" s="6"/>
      <c r="P33" s="6"/>
      <c r="Q33" s="8"/>
      <c r="R33" s="8"/>
      <c r="S33" s="8"/>
      <c r="T33" s="8"/>
      <c r="U33" s="7"/>
      <c r="V33" s="14"/>
    </row>
    <row r="40" spans="3:22" x14ac:dyDescent="0.25">
      <c r="G40" s="31"/>
      <c r="H40" s="31"/>
      <c r="I40" s="31"/>
      <c r="J40" s="31"/>
      <c r="K40" s="31"/>
      <c r="L40" s="31"/>
    </row>
    <row r="41" spans="3:22" x14ac:dyDescent="0.25">
      <c r="C41" s="31"/>
      <c r="D41" s="31"/>
      <c r="E41" s="31"/>
      <c r="G41" s="31"/>
      <c r="H41" s="31"/>
      <c r="I41" s="31"/>
      <c r="J41" s="31"/>
      <c r="K41" s="31"/>
      <c r="L41" s="31"/>
    </row>
    <row r="42" spans="3:22" x14ac:dyDescent="0.25">
      <c r="C42" s="31"/>
      <c r="D42" s="31"/>
      <c r="E42" s="31"/>
      <c r="G42" s="31"/>
      <c r="H42" s="31"/>
      <c r="I42" s="31"/>
      <c r="J42" s="31"/>
      <c r="K42" s="31"/>
      <c r="L42" s="31"/>
    </row>
    <row r="43" spans="3:22" x14ac:dyDescent="0.25">
      <c r="C43" s="31"/>
      <c r="D43" s="31"/>
      <c r="E43" s="31"/>
      <c r="G43" s="31"/>
      <c r="H43" s="31"/>
      <c r="I43" s="31"/>
      <c r="J43" s="31"/>
      <c r="K43" s="31"/>
      <c r="L43" s="31"/>
    </row>
    <row r="44" spans="3:22" x14ac:dyDescent="0.25">
      <c r="C44" s="31"/>
      <c r="D44" s="31"/>
      <c r="E44" s="31"/>
    </row>
  </sheetData>
  <pageMargins left="0.25" right="0.25" top="0.75" bottom="0.75" header="0.3" footer="0.3"/>
  <pageSetup scale="76" orientation="landscape" blackAndWhite="1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G7"/>
  <sheetViews>
    <sheetView showGridLines="0" showZeros="0" workbookViewId="0">
      <selection activeCell="E5" sqref="E5"/>
    </sheetView>
  </sheetViews>
  <sheetFormatPr defaultRowHeight="15" x14ac:dyDescent="0.25"/>
  <cols>
    <col min="1" max="1" width="5" customWidth="1"/>
    <col min="2" max="2" width="5.7109375" bestFit="1" customWidth="1"/>
    <col min="3" max="3" width="5.5703125" customWidth="1"/>
    <col min="4" max="4" width="13.7109375" customWidth="1"/>
    <col min="5" max="5" width="18.140625" customWidth="1"/>
    <col min="6" max="6" width="17.140625" customWidth="1"/>
    <col min="7" max="7" width="22.85546875" customWidth="1"/>
    <col min="8" max="8" width="35" customWidth="1"/>
    <col min="9" max="9" width="13.42578125" customWidth="1"/>
    <col min="11" max="11" width="6.7109375" bestFit="1" customWidth="1"/>
    <col min="12" max="12" width="20" customWidth="1"/>
    <col min="14" max="14" width="18.28515625" bestFit="1" customWidth="1"/>
    <col min="15" max="15" width="42.42578125" bestFit="1" customWidth="1"/>
  </cols>
  <sheetData>
    <row r="2" spans="2:7" x14ac:dyDescent="0.25">
      <c r="B2" s="9" t="str">
        <f>'Setup Instructions'!B2</f>
        <v>Timberline Construction</v>
      </c>
    </row>
    <row r="3" spans="2:7" x14ac:dyDescent="0.25">
      <c r="B3" s="9" t="str">
        <f>'Setup Instructions'!B3</f>
        <v>Sample Month End WIP Schedule</v>
      </c>
    </row>
    <row r="4" spans="2:7" x14ac:dyDescent="0.25">
      <c r="B4" s="9" t="s">
        <v>76</v>
      </c>
    </row>
    <row r="6" spans="2:7" x14ac:dyDescent="0.25">
      <c r="D6" t="s">
        <v>80</v>
      </c>
      <c r="E6" t="s">
        <v>81</v>
      </c>
      <c r="F6" t="s">
        <v>77</v>
      </c>
      <c r="G6" t="s">
        <v>78</v>
      </c>
    </row>
    <row r="7" spans="2:7" x14ac:dyDescent="0.25">
      <c r="D7" s="31" t="s">
        <v>82</v>
      </c>
      <c r="E7" s="32">
        <v>42156</v>
      </c>
      <c r="F7" s="31" t="s">
        <v>79</v>
      </c>
      <c r="G7" s="32">
        <v>42369</v>
      </c>
    </row>
  </sheetData>
  <pageMargins left="0.25" right="0.25" top="0.75" bottom="0.75" header="0.3" footer="0.3"/>
  <pageSetup orientation="portrait" blackAndWhite="1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N408"/>
  <sheetViews>
    <sheetView showGridLines="0" showZeros="0" workbookViewId="0">
      <selection activeCell="J18" sqref="J18"/>
    </sheetView>
  </sheetViews>
  <sheetFormatPr defaultRowHeight="15" x14ac:dyDescent="0.25"/>
  <cols>
    <col min="1" max="1" width="5" style="31" customWidth="1"/>
    <col min="2" max="2" width="5.7109375" style="31" bestFit="1" customWidth="1"/>
    <col min="3" max="3" width="10.42578125" bestFit="1" customWidth="1"/>
    <col min="4" max="4" width="36.5703125" bestFit="1" customWidth="1"/>
    <col min="5" max="5" width="25" style="2" bestFit="1" customWidth="1"/>
    <col min="6" max="6" width="18" style="2" bestFit="1" customWidth="1"/>
    <col min="7" max="7" width="26.28515625" style="2" bestFit="1" customWidth="1"/>
    <col min="8" max="8" width="7.42578125" customWidth="1"/>
    <col min="9" max="9" width="11.5703125" bestFit="1" customWidth="1"/>
    <col min="10" max="10" width="26.7109375" bestFit="1" customWidth="1"/>
    <col min="11" max="11" width="20.28515625" bestFit="1" customWidth="1"/>
    <col min="12" max="12" width="21.5703125" bestFit="1" customWidth="1"/>
    <col min="13" max="13" width="14.7109375" bestFit="1" customWidth="1"/>
    <col min="14" max="14" width="20.5703125" bestFit="1" customWidth="1"/>
    <col min="15" max="16384" width="9.140625" style="31"/>
  </cols>
  <sheetData>
    <row r="2" spans="2:14" x14ac:dyDescent="0.25">
      <c r="B2" s="9" t="str">
        <f>'Setup Instructions'!B2</f>
        <v>Timberline Construction</v>
      </c>
    </row>
    <row r="3" spans="2:14" x14ac:dyDescent="0.25">
      <c r="B3" s="9" t="str">
        <f>'Setup Instructions'!B3</f>
        <v>Sample Month End WIP Schedule</v>
      </c>
    </row>
    <row r="4" spans="2:14" x14ac:dyDescent="0.25">
      <c r="B4" s="9" t="s">
        <v>83</v>
      </c>
    </row>
    <row r="6" spans="2:14" x14ac:dyDescent="0.25">
      <c r="C6" t="s">
        <v>84</v>
      </c>
      <c r="D6" t="s">
        <v>85</v>
      </c>
      <c r="E6" s="2" t="s">
        <v>86</v>
      </c>
      <c r="F6" s="2" t="s">
        <v>87</v>
      </c>
      <c r="G6" s="2" t="s">
        <v>88</v>
      </c>
      <c r="I6" t="s">
        <v>612</v>
      </c>
      <c r="J6" t="s">
        <v>613</v>
      </c>
      <c r="K6" t="s">
        <v>614</v>
      </c>
      <c r="L6" t="s">
        <v>615</v>
      </c>
      <c r="M6" t="s">
        <v>616</v>
      </c>
      <c r="N6" t="s">
        <v>617</v>
      </c>
    </row>
    <row r="7" spans="2:14" x14ac:dyDescent="0.25">
      <c r="C7" t="s">
        <v>89</v>
      </c>
      <c r="D7" t="s">
        <v>90</v>
      </c>
      <c r="E7" s="2">
        <v>166779.57</v>
      </c>
      <c r="F7" s="2">
        <v>911541.07</v>
      </c>
      <c r="G7" s="2">
        <v>838468</v>
      </c>
      <c r="I7" t="s">
        <v>618</v>
      </c>
      <c r="J7" t="s">
        <v>619</v>
      </c>
      <c r="K7" t="s">
        <v>612</v>
      </c>
      <c r="L7" s="32">
        <v>42155</v>
      </c>
      <c r="M7">
        <v>5</v>
      </c>
      <c r="N7" s="32">
        <v>42369</v>
      </c>
    </row>
    <row r="8" spans="2:14" x14ac:dyDescent="0.25">
      <c r="C8" t="s">
        <v>91</v>
      </c>
      <c r="D8" t="s">
        <v>92</v>
      </c>
      <c r="E8" s="2">
        <v>0</v>
      </c>
      <c r="F8" s="2">
        <v>300</v>
      </c>
      <c r="G8" s="2">
        <v>300</v>
      </c>
      <c r="I8" t="s">
        <v>620</v>
      </c>
      <c r="J8" t="s">
        <v>621</v>
      </c>
      <c r="K8" t="s">
        <v>612</v>
      </c>
      <c r="L8" s="32">
        <v>42155</v>
      </c>
      <c r="M8">
        <v>5</v>
      </c>
      <c r="N8" s="32">
        <v>42369</v>
      </c>
    </row>
    <row r="9" spans="2:14" x14ac:dyDescent="0.25">
      <c r="C9" t="s">
        <v>93</v>
      </c>
      <c r="D9" t="s">
        <v>94</v>
      </c>
      <c r="E9" s="2">
        <v>-60000</v>
      </c>
      <c r="F9" s="2">
        <v>163375.65</v>
      </c>
      <c r="G9" s="2">
        <v>143950.25</v>
      </c>
      <c r="I9" t="s">
        <v>622</v>
      </c>
      <c r="J9" t="s">
        <v>623</v>
      </c>
      <c r="K9" t="s">
        <v>612</v>
      </c>
      <c r="L9" s="32">
        <v>42155</v>
      </c>
      <c r="M9">
        <v>5</v>
      </c>
      <c r="N9" s="32">
        <v>42369</v>
      </c>
    </row>
    <row r="10" spans="2:14" x14ac:dyDescent="0.25">
      <c r="C10" t="s">
        <v>95</v>
      </c>
      <c r="D10" t="s">
        <v>96</v>
      </c>
      <c r="E10" s="2">
        <v>0</v>
      </c>
      <c r="F10" s="2">
        <v>0</v>
      </c>
      <c r="G10" s="2">
        <v>0</v>
      </c>
      <c r="I10" t="s">
        <v>624</v>
      </c>
      <c r="J10" t="s">
        <v>625</v>
      </c>
      <c r="K10" t="s">
        <v>612</v>
      </c>
      <c r="L10" s="32">
        <v>42155</v>
      </c>
      <c r="M10">
        <v>7</v>
      </c>
      <c r="N10" s="32">
        <v>42308</v>
      </c>
    </row>
    <row r="11" spans="2:14" x14ac:dyDescent="0.25">
      <c r="C11" t="s">
        <v>97</v>
      </c>
      <c r="D11" t="s">
        <v>98</v>
      </c>
      <c r="E11" s="2">
        <v>0</v>
      </c>
      <c r="F11" s="2">
        <v>0</v>
      </c>
      <c r="G11" s="2">
        <v>0</v>
      </c>
    </row>
    <row r="12" spans="2:14" x14ac:dyDescent="0.25">
      <c r="C12" t="s">
        <v>99</v>
      </c>
      <c r="D12" t="s">
        <v>100</v>
      </c>
      <c r="E12" s="2">
        <v>110</v>
      </c>
      <c r="F12" s="2">
        <v>36810</v>
      </c>
      <c r="G12" s="2">
        <v>24500</v>
      </c>
    </row>
    <row r="13" spans="2:14" x14ac:dyDescent="0.25">
      <c r="C13" t="s">
        <v>101</v>
      </c>
      <c r="D13" t="s">
        <v>102</v>
      </c>
      <c r="E13" s="2">
        <v>137187.70000000001</v>
      </c>
      <c r="F13" s="2">
        <v>700114.54</v>
      </c>
      <c r="G13" s="2">
        <v>128559.98</v>
      </c>
    </row>
    <row r="14" spans="2:14" x14ac:dyDescent="0.25">
      <c r="C14" t="s">
        <v>103</v>
      </c>
      <c r="D14" t="s">
        <v>104</v>
      </c>
      <c r="E14" s="2">
        <v>0</v>
      </c>
      <c r="F14" s="2">
        <v>0</v>
      </c>
      <c r="G14" s="2">
        <v>0</v>
      </c>
    </row>
    <row r="15" spans="2:14" x14ac:dyDescent="0.25">
      <c r="C15" t="s">
        <v>105</v>
      </c>
      <c r="D15" t="s">
        <v>106</v>
      </c>
      <c r="E15" s="2">
        <v>0</v>
      </c>
      <c r="F15" s="2">
        <v>0</v>
      </c>
      <c r="G15" s="2">
        <v>0</v>
      </c>
    </row>
    <row r="16" spans="2:14" x14ac:dyDescent="0.25">
      <c r="C16" t="s">
        <v>107</v>
      </c>
      <c r="D16" t="s">
        <v>108</v>
      </c>
      <c r="E16" s="2">
        <v>0</v>
      </c>
      <c r="F16" s="2">
        <v>0</v>
      </c>
      <c r="G16" s="2">
        <v>0</v>
      </c>
    </row>
    <row r="17" spans="3:7" x14ac:dyDescent="0.25">
      <c r="C17" t="s">
        <v>109</v>
      </c>
      <c r="D17" t="s">
        <v>110</v>
      </c>
      <c r="E17" s="2">
        <v>0</v>
      </c>
      <c r="F17" s="2">
        <v>0</v>
      </c>
      <c r="G17" s="2">
        <v>0</v>
      </c>
    </row>
    <row r="18" spans="3:7" x14ac:dyDescent="0.25">
      <c r="C18" t="s">
        <v>111</v>
      </c>
      <c r="D18" t="s">
        <v>112</v>
      </c>
      <c r="E18" s="2">
        <v>0</v>
      </c>
      <c r="F18" s="2">
        <v>1357</v>
      </c>
      <c r="G18" s="2">
        <v>0</v>
      </c>
    </row>
    <row r="19" spans="3:7" x14ac:dyDescent="0.25">
      <c r="C19" t="s">
        <v>113</v>
      </c>
      <c r="D19" t="s">
        <v>114</v>
      </c>
      <c r="E19" s="2">
        <v>0</v>
      </c>
      <c r="F19" s="2">
        <v>1327.35</v>
      </c>
      <c r="G19" s="2">
        <v>0</v>
      </c>
    </row>
    <row r="20" spans="3:7" x14ac:dyDescent="0.25">
      <c r="C20" t="s">
        <v>115</v>
      </c>
      <c r="D20" t="s">
        <v>116</v>
      </c>
      <c r="E20" s="2">
        <v>87.5</v>
      </c>
      <c r="F20" s="2">
        <v>87.5</v>
      </c>
      <c r="G20" s="2">
        <v>0</v>
      </c>
    </row>
    <row r="21" spans="3:7" x14ac:dyDescent="0.25">
      <c r="C21" t="s">
        <v>117</v>
      </c>
      <c r="D21" t="s">
        <v>118</v>
      </c>
      <c r="E21" s="2">
        <v>0</v>
      </c>
      <c r="F21" s="2">
        <v>0</v>
      </c>
      <c r="G21" s="2">
        <v>0</v>
      </c>
    </row>
    <row r="22" spans="3:7" x14ac:dyDescent="0.25">
      <c r="C22" t="s">
        <v>119</v>
      </c>
      <c r="D22" t="s">
        <v>120</v>
      </c>
      <c r="E22" s="2">
        <v>0</v>
      </c>
      <c r="F22" s="2">
        <v>0</v>
      </c>
      <c r="G22" s="2">
        <v>0</v>
      </c>
    </row>
    <row r="23" spans="3:7" x14ac:dyDescent="0.25">
      <c r="C23" t="s">
        <v>121</v>
      </c>
      <c r="D23" t="s">
        <v>122</v>
      </c>
      <c r="E23" s="2">
        <v>0</v>
      </c>
      <c r="F23" s="2">
        <v>0</v>
      </c>
      <c r="G23" s="2">
        <v>0</v>
      </c>
    </row>
    <row r="24" spans="3:7" x14ac:dyDescent="0.25">
      <c r="C24" t="s">
        <v>123</v>
      </c>
      <c r="D24" t="s">
        <v>124</v>
      </c>
      <c r="E24" s="2">
        <v>0</v>
      </c>
      <c r="F24" s="2">
        <v>0</v>
      </c>
      <c r="G24" s="2">
        <v>0</v>
      </c>
    </row>
    <row r="25" spans="3:7" x14ac:dyDescent="0.25">
      <c r="C25" t="s">
        <v>125</v>
      </c>
      <c r="D25" t="s">
        <v>126</v>
      </c>
      <c r="E25" s="2">
        <v>0</v>
      </c>
      <c r="F25" s="2">
        <v>0</v>
      </c>
      <c r="G25" s="2">
        <v>0</v>
      </c>
    </row>
    <row r="26" spans="3:7" x14ac:dyDescent="0.25">
      <c r="C26" t="s">
        <v>127</v>
      </c>
      <c r="D26" t="s">
        <v>128</v>
      </c>
      <c r="E26" s="2">
        <v>0</v>
      </c>
      <c r="F26" s="2">
        <v>-1357.9</v>
      </c>
      <c r="G26" s="2">
        <v>0</v>
      </c>
    </row>
    <row r="27" spans="3:7" x14ac:dyDescent="0.25">
      <c r="C27" t="s">
        <v>129</v>
      </c>
      <c r="D27" t="s">
        <v>130</v>
      </c>
      <c r="E27" s="2">
        <v>0</v>
      </c>
      <c r="F27" s="2">
        <v>0</v>
      </c>
      <c r="G27" s="2">
        <v>0</v>
      </c>
    </row>
    <row r="28" spans="3:7" x14ac:dyDescent="0.25">
      <c r="C28" t="s">
        <v>131</v>
      </c>
      <c r="D28" t="s">
        <v>132</v>
      </c>
      <c r="E28" s="2">
        <v>0</v>
      </c>
      <c r="F28" s="2">
        <v>872511.5</v>
      </c>
      <c r="G28" s="2">
        <v>872511.5</v>
      </c>
    </row>
    <row r="29" spans="3:7" x14ac:dyDescent="0.25">
      <c r="C29" t="s">
        <v>133</v>
      </c>
      <c r="D29" t="s">
        <v>134</v>
      </c>
      <c r="E29" s="2">
        <v>0</v>
      </c>
      <c r="F29" s="2">
        <v>0</v>
      </c>
      <c r="G29" s="2">
        <v>0</v>
      </c>
    </row>
    <row r="30" spans="3:7" x14ac:dyDescent="0.25">
      <c r="C30" t="s">
        <v>135</v>
      </c>
      <c r="D30" t="s">
        <v>136</v>
      </c>
      <c r="E30" s="2">
        <v>0</v>
      </c>
      <c r="F30" s="2">
        <v>82858.95</v>
      </c>
      <c r="G30" s="2">
        <v>82858.95</v>
      </c>
    </row>
    <row r="31" spans="3:7" x14ac:dyDescent="0.25">
      <c r="C31" t="s">
        <v>137</v>
      </c>
      <c r="D31" t="s">
        <v>138</v>
      </c>
      <c r="E31" s="2">
        <v>0</v>
      </c>
      <c r="F31" s="2">
        <v>100527.63</v>
      </c>
      <c r="G31" s="2">
        <v>100527.63</v>
      </c>
    </row>
    <row r="32" spans="3:7" x14ac:dyDescent="0.25">
      <c r="C32" t="s">
        <v>139</v>
      </c>
      <c r="D32" t="s">
        <v>140</v>
      </c>
      <c r="E32" s="2">
        <v>0</v>
      </c>
      <c r="F32" s="2">
        <v>226487.43</v>
      </c>
      <c r="G32" s="2">
        <v>226487.43</v>
      </c>
    </row>
    <row r="33" spans="3:7" x14ac:dyDescent="0.25">
      <c r="C33" t="s">
        <v>141</v>
      </c>
      <c r="D33" t="s">
        <v>142</v>
      </c>
      <c r="E33" s="2">
        <v>0</v>
      </c>
      <c r="F33" s="2">
        <v>126075.41</v>
      </c>
      <c r="G33" s="2">
        <v>126075.41</v>
      </c>
    </row>
    <row r="34" spans="3:7" x14ac:dyDescent="0.25">
      <c r="C34" t="s">
        <v>143</v>
      </c>
      <c r="D34" t="s">
        <v>144</v>
      </c>
      <c r="E34" s="2">
        <v>0</v>
      </c>
      <c r="F34" s="2">
        <v>-56557.52</v>
      </c>
      <c r="G34" s="2">
        <v>-56557.52</v>
      </c>
    </row>
    <row r="35" spans="3:7" x14ac:dyDescent="0.25">
      <c r="C35" t="s">
        <v>145</v>
      </c>
      <c r="D35" t="s">
        <v>146</v>
      </c>
      <c r="E35" s="2">
        <v>0</v>
      </c>
      <c r="F35" s="2">
        <v>-80309.119999999995</v>
      </c>
      <c r="G35" s="2">
        <v>-80309.119999999995</v>
      </c>
    </row>
    <row r="36" spans="3:7" x14ac:dyDescent="0.25">
      <c r="C36" t="s">
        <v>147</v>
      </c>
      <c r="D36" t="s">
        <v>148</v>
      </c>
      <c r="E36" s="2">
        <v>0</v>
      </c>
      <c r="F36" s="2">
        <v>-108383.67</v>
      </c>
      <c r="G36" s="2">
        <v>-108383.67</v>
      </c>
    </row>
    <row r="37" spans="3:7" x14ac:dyDescent="0.25">
      <c r="C37" t="s">
        <v>149</v>
      </c>
      <c r="D37" t="s">
        <v>150</v>
      </c>
      <c r="E37" s="2">
        <v>0</v>
      </c>
      <c r="F37" s="2">
        <v>-106580.7</v>
      </c>
      <c r="G37" s="2">
        <v>-106580.7</v>
      </c>
    </row>
    <row r="38" spans="3:7" x14ac:dyDescent="0.25">
      <c r="C38" t="s">
        <v>151</v>
      </c>
      <c r="D38" t="s">
        <v>152</v>
      </c>
      <c r="E38" s="2">
        <v>-12282.6</v>
      </c>
      <c r="F38" s="2">
        <v>-12243.33</v>
      </c>
      <c r="G38" s="2">
        <v>-30694.03</v>
      </c>
    </row>
    <row r="39" spans="3:7" x14ac:dyDescent="0.25">
      <c r="C39" t="s">
        <v>153</v>
      </c>
      <c r="D39" t="s">
        <v>154</v>
      </c>
      <c r="E39" s="2">
        <v>0</v>
      </c>
      <c r="F39" s="2">
        <v>-25000</v>
      </c>
      <c r="G39" s="2">
        <v>-25000</v>
      </c>
    </row>
    <row r="40" spans="3:7" x14ac:dyDescent="0.25">
      <c r="C40" t="s">
        <v>155</v>
      </c>
      <c r="D40" t="s">
        <v>156</v>
      </c>
      <c r="E40" s="2">
        <v>0</v>
      </c>
      <c r="F40" s="2">
        <v>1980</v>
      </c>
      <c r="G40" s="2">
        <v>1980</v>
      </c>
    </row>
    <row r="41" spans="3:7" x14ac:dyDescent="0.25">
      <c r="C41" t="s">
        <v>157</v>
      </c>
      <c r="D41" t="s">
        <v>158</v>
      </c>
      <c r="E41" s="2">
        <v>0</v>
      </c>
      <c r="F41" s="2">
        <v>0</v>
      </c>
      <c r="G41" s="2">
        <v>0</v>
      </c>
    </row>
    <row r="42" spans="3:7" x14ac:dyDescent="0.25">
      <c r="C42" t="s">
        <v>159</v>
      </c>
      <c r="D42" t="s">
        <v>160</v>
      </c>
      <c r="E42" s="2">
        <v>-86.1</v>
      </c>
      <c r="F42" s="2">
        <v>-2582.14</v>
      </c>
      <c r="G42" s="2">
        <v>-2163.4699999999998</v>
      </c>
    </row>
    <row r="43" spans="3:7" x14ac:dyDescent="0.25">
      <c r="C43" t="s">
        <v>161</v>
      </c>
      <c r="D43" t="s">
        <v>162</v>
      </c>
      <c r="E43" s="2">
        <v>0</v>
      </c>
      <c r="F43" s="2">
        <v>0</v>
      </c>
      <c r="G43" s="2">
        <v>0</v>
      </c>
    </row>
    <row r="44" spans="3:7" x14ac:dyDescent="0.25">
      <c r="C44" t="s">
        <v>163</v>
      </c>
      <c r="D44" t="s">
        <v>164</v>
      </c>
      <c r="E44" s="2">
        <v>-206068.1</v>
      </c>
      <c r="F44" s="2">
        <v>-449865.6</v>
      </c>
      <c r="G44" s="2">
        <v>0</v>
      </c>
    </row>
    <row r="45" spans="3:7" x14ac:dyDescent="0.25">
      <c r="C45" t="s">
        <v>165</v>
      </c>
      <c r="D45" t="s">
        <v>166</v>
      </c>
      <c r="E45" s="2">
        <v>-565</v>
      </c>
      <c r="F45" s="2">
        <v>-565</v>
      </c>
      <c r="G45" s="2">
        <v>0</v>
      </c>
    </row>
    <row r="46" spans="3:7" x14ac:dyDescent="0.25">
      <c r="C46" t="s">
        <v>167</v>
      </c>
      <c r="D46" t="s">
        <v>168</v>
      </c>
      <c r="E46" s="2">
        <v>0</v>
      </c>
      <c r="F46" s="2">
        <v>0</v>
      </c>
      <c r="G46" s="2">
        <v>0</v>
      </c>
    </row>
    <row r="47" spans="3:7" x14ac:dyDescent="0.25">
      <c r="C47" t="s">
        <v>169</v>
      </c>
      <c r="D47" t="s">
        <v>170</v>
      </c>
      <c r="E47" s="2">
        <v>-87.5</v>
      </c>
      <c r="F47" s="2">
        <v>-87.5</v>
      </c>
      <c r="G47" s="2">
        <v>0</v>
      </c>
    </row>
    <row r="48" spans="3:7" x14ac:dyDescent="0.25">
      <c r="C48" t="s">
        <v>171</v>
      </c>
      <c r="D48" t="s">
        <v>172</v>
      </c>
      <c r="E48" s="2">
        <v>-19851.169999999998</v>
      </c>
      <c r="F48" s="2">
        <v>-88452.52</v>
      </c>
      <c r="G48" s="2">
        <v>0</v>
      </c>
    </row>
    <row r="49" spans="3:7" x14ac:dyDescent="0.25">
      <c r="C49" t="s">
        <v>173</v>
      </c>
      <c r="D49" t="s">
        <v>174</v>
      </c>
      <c r="E49" s="2">
        <v>0</v>
      </c>
      <c r="F49" s="2">
        <v>-4364.5200000000004</v>
      </c>
      <c r="G49" s="2">
        <v>-4364.5200000000004</v>
      </c>
    </row>
    <row r="50" spans="3:7" x14ac:dyDescent="0.25">
      <c r="C50" t="s">
        <v>175</v>
      </c>
      <c r="D50" t="s">
        <v>176</v>
      </c>
      <c r="E50" s="2">
        <v>0</v>
      </c>
      <c r="F50" s="2">
        <v>-1026.82</v>
      </c>
      <c r="G50" s="2">
        <v>-1026.82</v>
      </c>
    </row>
    <row r="51" spans="3:7" x14ac:dyDescent="0.25">
      <c r="C51" t="s">
        <v>177</v>
      </c>
      <c r="D51" t="s">
        <v>178</v>
      </c>
      <c r="E51" s="2">
        <v>0</v>
      </c>
      <c r="F51" s="2">
        <v>-2268.73</v>
      </c>
      <c r="G51" s="2">
        <v>-2268.73</v>
      </c>
    </row>
    <row r="52" spans="3:7" x14ac:dyDescent="0.25">
      <c r="C52" t="s">
        <v>179</v>
      </c>
      <c r="D52" t="s">
        <v>180</v>
      </c>
      <c r="E52" s="2">
        <v>0</v>
      </c>
      <c r="F52" s="2">
        <v>-2268.73</v>
      </c>
      <c r="G52" s="2">
        <v>-2268.73</v>
      </c>
    </row>
    <row r="53" spans="3:7" x14ac:dyDescent="0.25">
      <c r="C53" t="s">
        <v>181</v>
      </c>
      <c r="D53" t="s">
        <v>182</v>
      </c>
      <c r="E53" s="2">
        <v>-956.25</v>
      </c>
      <c r="F53" s="2">
        <v>-9819.99</v>
      </c>
      <c r="G53" s="2">
        <v>-1651.24</v>
      </c>
    </row>
    <row r="54" spans="3:7" x14ac:dyDescent="0.25">
      <c r="C54" t="s">
        <v>183</v>
      </c>
      <c r="D54" t="s">
        <v>184</v>
      </c>
      <c r="E54" s="2">
        <v>-4668.7700000000004</v>
      </c>
      <c r="F54" s="2">
        <v>-25637.33</v>
      </c>
      <c r="G54" s="2">
        <v>-2785.09</v>
      </c>
    </row>
    <row r="55" spans="3:7" x14ac:dyDescent="0.25">
      <c r="C55" t="s">
        <v>185</v>
      </c>
      <c r="D55" t="s">
        <v>186</v>
      </c>
      <c r="E55" s="2">
        <v>0</v>
      </c>
      <c r="F55" s="2">
        <v>-508.71</v>
      </c>
      <c r="G55" s="2">
        <v>-508.71</v>
      </c>
    </row>
    <row r="56" spans="3:7" x14ac:dyDescent="0.25">
      <c r="C56" t="s">
        <v>187</v>
      </c>
      <c r="D56" t="s">
        <v>188</v>
      </c>
      <c r="E56" s="2">
        <v>-27477.05</v>
      </c>
      <c r="F56" s="2">
        <v>-129361.24</v>
      </c>
      <c r="G56" s="2">
        <v>0</v>
      </c>
    </row>
    <row r="57" spans="3:7" x14ac:dyDescent="0.25">
      <c r="C57" t="s">
        <v>189</v>
      </c>
      <c r="D57" t="s">
        <v>190</v>
      </c>
      <c r="E57" s="2">
        <v>0</v>
      </c>
      <c r="F57" s="2">
        <v>0</v>
      </c>
      <c r="G57" s="2">
        <v>0</v>
      </c>
    </row>
    <row r="58" spans="3:7" x14ac:dyDescent="0.25">
      <c r="C58" t="s">
        <v>191</v>
      </c>
      <c r="D58" t="s">
        <v>192</v>
      </c>
      <c r="E58" s="2">
        <v>0</v>
      </c>
      <c r="F58" s="2">
        <v>0</v>
      </c>
      <c r="G58" s="2">
        <v>0</v>
      </c>
    </row>
    <row r="59" spans="3:7" x14ac:dyDescent="0.25">
      <c r="C59" t="s">
        <v>193</v>
      </c>
      <c r="D59" t="s">
        <v>194</v>
      </c>
      <c r="E59" s="2">
        <v>0</v>
      </c>
      <c r="F59" s="2">
        <v>0</v>
      </c>
      <c r="G59" s="2">
        <v>0</v>
      </c>
    </row>
    <row r="60" spans="3:7" x14ac:dyDescent="0.25">
      <c r="C60" t="s">
        <v>195</v>
      </c>
      <c r="D60" t="s">
        <v>196</v>
      </c>
      <c r="E60" s="2">
        <v>0</v>
      </c>
      <c r="F60" s="2">
        <v>-5723</v>
      </c>
      <c r="G60" s="2">
        <v>-5723</v>
      </c>
    </row>
    <row r="61" spans="3:7" x14ac:dyDescent="0.25">
      <c r="C61" t="s">
        <v>197</v>
      </c>
      <c r="D61" t="s">
        <v>198</v>
      </c>
      <c r="E61" s="2">
        <v>0</v>
      </c>
      <c r="F61" s="2">
        <v>-3150.27</v>
      </c>
      <c r="G61" s="2">
        <v>-3150.27</v>
      </c>
    </row>
    <row r="62" spans="3:7" x14ac:dyDescent="0.25">
      <c r="C62" t="s">
        <v>199</v>
      </c>
      <c r="D62" t="s">
        <v>200</v>
      </c>
      <c r="E62" s="2">
        <v>0</v>
      </c>
      <c r="F62" s="2">
        <v>0</v>
      </c>
      <c r="G62" s="2">
        <v>0</v>
      </c>
    </row>
    <row r="63" spans="3:7" x14ac:dyDescent="0.25">
      <c r="C63" t="s">
        <v>201</v>
      </c>
      <c r="D63" t="s">
        <v>202</v>
      </c>
      <c r="E63" s="2">
        <v>0</v>
      </c>
      <c r="F63" s="2">
        <v>-566.66999999999996</v>
      </c>
      <c r="G63" s="2">
        <v>-566.66999999999996</v>
      </c>
    </row>
    <row r="64" spans="3:7" x14ac:dyDescent="0.25">
      <c r="C64" t="s">
        <v>203</v>
      </c>
      <c r="D64" t="s">
        <v>204</v>
      </c>
      <c r="E64" s="2">
        <v>-1354.14</v>
      </c>
      <c r="F64" s="2">
        <v>-14421.12</v>
      </c>
      <c r="G64" s="2">
        <v>-1408.53</v>
      </c>
    </row>
    <row r="65" spans="3:7" x14ac:dyDescent="0.25">
      <c r="C65" t="s">
        <v>205</v>
      </c>
      <c r="D65" t="s">
        <v>206</v>
      </c>
      <c r="E65" s="2">
        <v>0</v>
      </c>
      <c r="F65" s="2">
        <v>0</v>
      </c>
      <c r="G65" s="2">
        <v>0</v>
      </c>
    </row>
    <row r="66" spans="3:7" x14ac:dyDescent="0.25">
      <c r="C66" t="s">
        <v>207</v>
      </c>
      <c r="D66" t="s">
        <v>208</v>
      </c>
      <c r="E66" s="2">
        <v>0</v>
      </c>
      <c r="F66" s="2">
        <v>0</v>
      </c>
      <c r="G66" s="2">
        <v>0</v>
      </c>
    </row>
    <row r="67" spans="3:7" x14ac:dyDescent="0.25">
      <c r="C67" t="s">
        <v>209</v>
      </c>
      <c r="D67" t="s">
        <v>210</v>
      </c>
      <c r="E67" s="2">
        <v>0</v>
      </c>
      <c r="F67" s="2">
        <v>0</v>
      </c>
      <c r="G67" s="2">
        <v>0</v>
      </c>
    </row>
    <row r="68" spans="3:7" x14ac:dyDescent="0.25">
      <c r="C68" t="s">
        <v>211</v>
      </c>
      <c r="D68" t="s">
        <v>212</v>
      </c>
      <c r="E68" s="2">
        <v>0</v>
      </c>
      <c r="F68" s="2">
        <v>-1647979.66</v>
      </c>
      <c r="G68" s="2">
        <v>-1647979.66</v>
      </c>
    </row>
    <row r="69" spans="3:7" x14ac:dyDescent="0.25">
      <c r="C69" t="s">
        <v>213</v>
      </c>
      <c r="D69" t="s">
        <v>214</v>
      </c>
      <c r="E69" s="2">
        <v>0</v>
      </c>
      <c r="F69" s="2">
        <v>-462798.67</v>
      </c>
      <c r="G69" s="2">
        <v>-462798.67</v>
      </c>
    </row>
    <row r="70" spans="3:7" x14ac:dyDescent="0.25">
      <c r="C70" t="s">
        <v>56</v>
      </c>
      <c r="D70" t="s">
        <v>215</v>
      </c>
      <c r="E70" s="2">
        <v>-110</v>
      </c>
      <c r="F70" s="2">
        <v>-122110</v>
      </c>
      <c r="G70" s="2">
        <v>0</v>
      </c>
    </row>
    <row r="71" spans="3:7" x14ac:dyDescent="0.25">
      <c r="C71" t="s">
        <v>216</v>
      </c>
      <c r="D71" t="s">
        <v>217</v>
      </c>
      <c r="E71" s="2">
        <v>-6</v>
      </c>
      <c r="F71" s="2">
        <v>-6</v>
      </c>
      <c r="G71" s="2">
        <v>-30</v>
      </c>
    </row>
    <row r="72" spans="3:7" x14ac:dyDescent="0.25">
      <c r="C72" t="s">
        <v>218</v>
      </c>
      <c r="D72" t="s">
        <v>219</v>
      </c>
      <c r="E72" s="2">
        <v>-1950</v>
      </c>
      <c r="F72" s="2">
        <v>-1950</v>
      </c>
      <c r="G72" s="2">
        <v>0</v>
      </c>
    </row>
    <row r="73" spans="3:7" x14ac:dyDescent="0.25">
      <c r="C73" t="s">
        <v>220</v>
      </c>
      <c r="D73" t="s">
        <v>221</v>
      </c>
      <c r="E73" s="2">
        <v>0</v>
      </c>
      <c r="F73" s="2">
        <v>0</v>
      </c>
      <c r="G73" s="2">
        <v>0</v>
      </c>
    </row>
    <row r="74" spans="3:7" x14ac:dyDescent="0.25">
      <c r="C74" t="s">
        <v>222</v>
      </c>
      <c r="D74" t="s">
        <v>223</v>
      </c>
      <c r="E74" s="2">
        <v>0</v>
      </c>
      <c r="F74" s="2">
        <v>0</v>
      </c>
      <c r="G74" s="2">
        <v>0</v>
      </c>
    </row>
    <row r="75" spans="3:7" x14ac:dyDescent="0.25">
      <c r="C75" t="s">
        <v>224</v>
      </c>
      <c r="D75" t="s">
        <v>225</v>
      </c>
      <c r="E75" s="2">
        <v>0</v>
      </c>
      <c r="F75" s="2">
        <v>-165.4</v>
      </c>
      <c r="G75" s="2">
        <v>0</v>
      </c>
    </row>
    <row r="76" spans="3:7" x14ac:dyDescent="0.25">
      <c r="C76" t="s">
        <v>226</v>
      </c>
      <c r="D76" t="s">
        <v>227</v>
      </c>
      <c r="E76" s="2">
        <v>0</v>
      </c>
      <c r="F76" s="2">
        <v>-3675</v>
      </c>
      <c r="G76" s="2">
        <v>0</v>
      </c>
    </row>
    <row r="77" spans="3:7" x14ac:dyDescent="0.25">
      <c r="C77" t="s">
        <v>228</v>
      </c>
      <c r="D77" t="s">
        <v>229</v>
      </c>
      <c r="E77" s="2">
        <v>0</v>
      </c>
      <c r="F77" s="2">
        <v>-55</v>
      </c>
      <c r="G77" s="2">
        <v>0</v>
      </c>
    </row>
    <row r="78" spans="3:7" x14ac:dyDescent="0.25">
      <c r="C78" t="s">
        <v>230</v>
      </c>
      <c r="D78" t="s">
        <v>231</v>
      </c>
      <c r="E78" s="2">
        <v>0</v>
      </c>
      <c r="F78" s="2">
        <v>0</v>
      </c>
      <c r="G78" s="2">
        <v>0</v>
      </c>
    </row>
    <row r="79" spans="3:7" x14ac:dyDescent="0.25">
      <c r="C79" t="s">
        <v>232</v>
      </c>
      <c r="D79" t="s">
        <v>233</v>
      </c>
      <c r="E79" s="2">
        <v>0</v>
      </c>
      <c r="F79" s="2">
        <v>0</v>
      </c>
      <c r="G79" s="2">
        <v>0</v>
      </c>
    </row>
    <row r="80" spans="3:7" x14ac:dyDescent="0.25">
      <c r="C80" t="s">
        <v>234</v>
      </c>
      <c r="D80" t="s">
        <v>235</v>
      </c>
      <c r="E80" s="2">
        <v>0</v>
      </c>
      <c r="F80" s="2">
        <v>0</v>
      </c>
      <c r="G80" s="2">
        <v>0</v>
      </c>
    </row>
    <row r="81" spans="3:7" x14ac:dyDescent="0.25">
      <c r="C81" t="s">
        <v>236</v>
      </c>
      <c r="D81" t="s">
        <v>237</v>
      </c>
      <c r="E81" s="2">
        <v>0</v>
      </c>
      <c r="F81" s="2">
        <v>-450</v>
      </c>
      <c r="G81" s="2">
        <v>0</v>
      </c>
    </row>
    <row r="82" spans="3:7" x14ac:dyDescent="0.25">
      <c r="C82" t="s">
        <v>238</v>
      </c>
      <c r="D82" t="s">
        <v>239</v>
      </c>
      <c r="E82" s="2">
        <v>0</v>
      </c>
      <c r="F82" s="2">
        <v>-1580</v>
      </c>
      <c r="G82" s="2">
        <v>0</v>
      </c>
    </row>
    <row r="83" spans="3:7" x14ac:dyDescent="0.25">
      <c r="C83" t="s">
        <v>240</v>
      </c>
      <c r="D83" t="s">
        <v>241</v>
      </c>
      <c r="E83" s="2">
        <v>2579.11</v>
      </c>
      <c r="F83" s="2">
        <v>2579.11</v>
      </c>
      <c r="G83" s="2">
        <v>0</v>
      </c>
    </row>
    <row r="84" spans="3:7" x14ac:dyDescent="0.25">
      <c r="C84" t="s">
        <v>242</v>
      </c>
      <c r="D84" t="s">
        <v>243</v>
      </c>
      <c r="E84" s="2">
        <v>2500</v>
      </c>
      <c r="F84" s="2">
        <v>2500</v>
      </c>
      <c r="G84" s="2">
        <v>0</v>
      </c>
    </row>
    <row r="85" spans="3:7" x14ac:dyDescent="0.25">
      <c r="C85" t="s">
        <v>244</v>
      </c>
      <c r="D85" t="s">
        <v>245</v>
      </c>
      <c r="E85" s="2">
        <v>8800</v>
      </c>
      <c r="F85" s="2">
        <v>8800</v>
      </c>
      <c r="G85" s="2">
        <v>0</v>
      </c>
    </row>
    <row r="86" spans="3:7" x14ac:dyDescent="0.25">
      <c r="C86" t="s">
        <v>246</v>
      </c>
      <c r="D86" t="s">
        <v>247</v>
      </c>
      <c r="E86" s="2">
        <v>0</v>
      </c>
      <c r="F86" s="2">
        <v>0</v>
      </c>
      <c r="G86" s="2">
        <v>0</v>
      </c>
    </row>
    <row r="87" spans="3:7" x14ac:dyDescent="0.25">
      <c r="C87" t="s">
        <v>248</v>
      </c>
      <c r="D87" t="s">
        <v>249</v>
      </c>
      <c r="E87" s="2">
        <v>0</v>
      </c>
      <c r="F87" s="2">
        <v>0</v>
      </c>
      <c r="G87" s="2">
        <v>0</v>
      </c>
    </row>
    <row r="88" spans="3:7" x14ac:dyDescent="0.25">
      <c r="C88" t="s">
        <v>250</v>
      </c>
      <c r="D88" t="s">
        <v>251</v>
      </c>
      <c r="E88" s="2">
        <v>0</v>
      </c>
      <c r="F88" s="2">
        <v>165.4</v>
      </c>
      <c r="G88" s="2">
        <v>0</v>
      </c>
    </row>
    <row r="89" spans="3:7" x14ac:dyDescent="0.25">
      <c r="C89" t="s">
        <v>252</v>
      </c>
      <c r="D89" t="s">
        <v>253</v>
      </c>
      <c r="E89" s="2">
        <v>0</v>
      </c>
      <c r="F89" s="2">
        <v>1371.63</v>
      </c>
      <c r="G89" s="2">
        <v>0</v>
      </c>
    </row>
    <row r="90" spans="3:7" x14ac:dyDescent="0.25">
      <c r="C90" t="s">
        <v>254</v>
      </c>
      <c r="D90" t="s">
        <v>255</v>
      </c>
      <c r="E90" s="2">
        <v>0</v>
      </c>
      <c r="F90" s="2">
        <v>27.75</v>
      </c>
      <c r="G90" s="2">
        <v>0</v>
      </c>
    </row>
    <row r="91" spans="3:7" x14ac:dyDescent="0.25">
      <c r="C91" t="s">
        <v>256</v>
      </c>
      <c r="D91" t="s">
        <v>257</v>
      </c>
      <c r="E91" s="2">
        <v>0</v>
      </c>
      <c r="F91" s="2">
        <v>0</v>
      </c>
      <c r="G91" s="2">
        <v>0</v>
      </c>
    </row>
    <row r="92" spans="3:7" x14ac:dyDescent="0.25">
      <c r="C92" t="s">
        <v>258</v>
      </c>
      <c r="D92" t="s">
        <v>259</v>
      </c>
      <c r="E92" s="2">
        <v>0</v>
      </c>
      <c r="F92" s="2">
        <v>0</v>
      </c>
      <c r="G92" s="2">
        <v>0</v>
      </c>
    </row>
    <row r="93" spans="3:7" x14ac:dyDescent="0.25">
      <c r="C93" t="s">
        <v>260</v>
      </c>
      <c r="D93" t="s">
        <v>261</v>
      </c>
      <c r="E93" s="2">
        <v>0</v>
      </c>
      <c r="F93" s="2">
        <v>0</v>
      </c>
      <c r="G93" s="2">
        <v>0</v>
      </c>
    </row>
    <row r="94" spans="3:7" x14ac:dyDescent="0.25">
      <c r="C94" t="s">
        <v>262</v>
      </c>
      <c r="D94" t="s">
        <v>263</v>
      </c>
      <c r="E94" s="2">
        <v>0</v>
      </c>
      <c r="F94" s="2">
        <v>0</v>
      </c>
      <c r="G94" s="2">
        <v>0</v>
      </c>
    </row>
    <row r="95" spans="3:7" x14ac:dyDescent="0.25">
      <c r="C95" t="s">
        <v>264</v>
      </c>
      <c r="D95" t="s">
        <v>265</v>
      </c>
      <c r="E95" s="2">
        <v>0</v>
      </c>
      <c r="F95" s="2">
        <v>0</v>
      </c>
      <c r="G95" s="2">
        <v>0</v>
      </c>
    </row>
    <row r="96" spans="3:7" x14ac:dyDescent="0.25">
      <c r="C96" t="s">
        <v>266</v>
      </c>
      <c r="D96" t="s">
        <v>267</v>
      </c>
      <c r="E96" s="2">
        <v>0</v>
      </c>
      <c r="F96" s="2">
        <v>-2698.98</v>
      </c>
      <c r="G96" s="2">
        <v>0</v>
      </c>
    </row>
    <row r="97" spans="3:7" x14ac:dyDescent="0.25">
      <c r="C97" t="s">
        <v>268</v>
      </c>
      <c r="D97" t="s">
        <v>269</v>
      </c>
      <c r="E97" s="2">
        <v>0</v>
      </c>
      <c r="F97" s="2">
        <v>0</v>
      </c>
      <c r="G97" s="2">
        <v>0</v>
      </c>
    </row>
    <row r="98" spans="3:7" x14ac:dyDescent="0.25">
      <c r="C98" t="s">
        <v>270</v>
      </c>
      <c r="D98" t="s">
        <v>271</v>
      </c>
      <c r="E98" s="2">
        <v>6657.5</v>
      </c>
      <c r="F98" s="2">
        <v>69297.61</v>
      </c>
      <c r="G98" s="2">
        <v>0</v>
      </c>
    </row>
    <row r="99" spans="3:7" x14ac:dyDescent="0.25">
      <c r="C99" t="s">
        <v>272</v>
      </c>
      <c r="D99" t="s">
        <v>273</v>
      </c>
      <c r="E99" s="2">
        <v>1396</v>
      </c>
      <c r="F99" s="2">
        <v>23669</v>
      </c>
      <c r="G99" s="2">
        <v>0</v>
      </c>
    </row>
    <row r="100" spans="3:7" x14ac:dyDescent="0.25">
      <c r="C100" t="s">
        <v>274</v>
      </c>
      <c r="D100" t="s">
        <v>275</v>
      </c>
      <c r="E100" s="2">
        <v>0</v>
      </c>
      <c r="F100" s="2">
        <v>404.27</v>
      </c>
      <c r="G100" s="2">
        <v>0</v>
      </c>
    </row>
    <row r="101" spans="3:7" x14ac:dyDescent="0.25">
      <c r="C101" t="s">
        <v>276</v>
      </c>
      <c r="D101" t="s">
        <v>277</v>
      </c>
      <c r="E101" s="2">
        <v>0</v>
      </c>
      <c r="F101" s="2">
        <v>0</v>
      </c>
      <c r="G101" s="2">
        <v>0</v>
      </c>
    </row>
    <row r="102" spans="3:7" x14ac:dyDescent="0.25">
      <c r="C102" t="s">
        <v>278</v>
      </c>
      <c r="D102" t="s">
        <v>279</v>
      </c>
      <c r="E102" s="2">
        <v>1115.3699999999999</v>
      </c>
      <c r="F102" s="2">
        <v>12439.48</v>
      </c>
      <c r="G102" s="2">
        <v>0</v>
      </c>
    </row>
    <row r="103" spans="3:7" x14ac:dyDescent="0.25">
      <c r="C103" t="s">
        <v>280</v>
      </c>
      <c r="D103" t="s">
        <v>281</v>
      </c>
      <c r="E103" s="2">
        <v>690.65</v>
      </c>
      <c r="F103" s="2">
        <v>7525.47</v>
      </c>
      <c r="G103" s="2">
        <v>0</v>
      </c>
    </row>
    <row r="104" spans="3:7" x14ac:dyDescent="0.25">
      <c r="C104" t="s">
        <v>282</v>
      </c>
      <c r="D104" t="s">
        <v>283</v>
      </c>
      <c r="E104" s="2">
        <v>0</v>
      </c>
      <c r="F104" s="2">
        <v>0</v>
      </c>
      <c r="G104" s="2">
        <v>0</v>
      </c>
    </row>
    <row r="105" spans="3:7" x14ac:dyDescent="0.25">
      <c r="C105" t="s">
        <v>284</v>
      </c>
      <c r="D105" t="s">
        <v>285</v>
      </c>
      <c r="E105" s="2">
        <v>0</v>
      </c>
      <c r="F105" s="2">
        <v>2684.8</v>
      </c>
      <c r="G105" s="2">
        <v>0</v>
      </c>
    </row>
    <row r="106" spans="3:7" x14ac:dyDescent="0.25">
      <c r="C106" t="s">
        <v>286</v>
      </c>
      <c r="D106" t="s">
        <v>287</v>
      </c>
      <c r="E106" s="2">
        <v>0</v>
      </c>
      <c r="F106" s="2">
        <v>0</v>
      </c>
      <c r="G106" s="2">
        <v>0</v>
      </c>
    </row>
    <row r="107" spans="3:7" x14ac:dyDescent="0.25">
      <c r="C107" t="s">
        <v>288</v>
      </c>
      <c r="D107" t="s">
        <v>289</v>
      </c>
      <c r="E107" s="2">
        <v>0</v>
      </c>
      <c r="F107" s="2">
        <v>0</v>
      </c>
      <c r="G107" s="2">
        <v>0</v>
      </c>
    </row>
    <row r="108" spans="3:7" x14ac:dyDescent="0.25">
      <c r="C108" t="s">
        <v>290</v>
      </c>
      <c r="D108" t="s">
        <v>291</v>
      </c>
      <c r="E108" s="2">
        <v>0</v>
      </c>
      <c r="F108" s="2">
        <v>0</v>
      </c>
      <c r="G108" s="2">
        <v>0</v>
      </c>
    </row>
    <row r="109" spans="3:7" x14ac:dyDescent="0.25">
      <c r="C109" t="s">
        <v>292</v>
      </c>
      <c r="D109" t="s">
        <v>293</v>
      </c>
      <c r="E109" s="2">
        <v>0</v>
      </c>
      <c r="F109" s="2">
        <v>0</v>
      </c>
      <c r="G109" s="2">
        <v>0</v>
      </c>
    </row>
    <row r="110" spans="3:7" x14ac:dyDescent="0.25">
      <c r="C110" t="s">
        <v>294</v>
      </c>
      <c r="D110" t="s">
        <v>17</v>
      </c>
      <c r="E110" s="2">
        <v>0</v>
      </c>
      <c r="F110" s="2">
        <v>0</v>
      </c>
      <c r="G110" s="2">
        <v>0</v>
      </c>
    </row>
    <row r="111" spans="3:7" x14ac:dyDescent="0.25">
      <c r="C111" t="s">
        <v>295</v>
      </c>
      <c r="D111" t="s">
        <v>296</v>
      </c>
      <c r="E111" s="2">
        <v>0</v>
      </c>
      <c r="F111" s="2">
        <v>0</v>
      </c>
      <c r="G111" s="2">
        <v>0</v>
      </c>
    </row>
    <row r="112" spans="3:7" x14ac:dyDescent="0.25">
      <c r="C112" t="s">
        <v>297</v>
      </c>
      <c r="D112" t="s">
        <v>298</v>
      </c>
      <c r="E112" s="2">
        <v>0</v>
      </c>
      <c r="F112" s="2">
        <v>0</v>
      </c>
      <c r="G112" s="2">
        <v>0</v>
      </c>
    </row>
    <row r="113" spans="3:7" x14ac:dyDescent="0.25">
      <c r="C113" t="s">
        <v>299</v>
      </c>
      <c r="D113" t="s">
        <v>300</v>
      </c>
      <c r="E113" s="2">
        <v>0</v>
      </c>
      <c r="F113" s="2">
        <v>0</v>
      </c>
      <c r="G113" s="2">
        <v>0</v>
      </c>
    </row>
    <row r="114" spans="3:7" x14ac:dyDescent="0.25">
      <c r="C114" t="s">
        <v>301</v>
      </c>
      <c r="D114" t="s">
        <v>302</v>
      </c>
      <c r="E114" s="2">
        <v>0</v>
      </c>
      <c r="F114" s="2">
        <v>75.58</v>
      </c>
      <c r="G114" s="2">
        <v>0</v>
      </c>
    </row>
    <row r="115" spans="3:7" x14ac:dyDescent="0.25">
      <c r="C115" t="s">
        <v>303</v>
      </c>
      <c r="D115" t="s">
        <v>304</v>
      </c>
      <c r="E115" s="2">
        <v>95.35</v>
      </c>
      <c r="F115" s="2">
        <v>452.17</v>
      </c>
      <c r="G115" s="2">
        <v>0</v>
      </c>
    </row>
    <row r="116" spans="3:7" x14ac:dyDescent="0.25">
      <c r="C116" t="s">
        <v>305</v>
      </c>
      <c r="D116" t="s">
        <v>306</v>
      </c>
      <c r="E116" s="2">
        <v>29.6</v>
      </c>
      <c r="F116" s="2">
        <v>439.92</v>
      </c>
      <c r="G116" s="2">
        <v>0</v>
      </c>
    </row>
    <row r="117" spans="3:7" x14ac:dyDescent="0.25">
      <c r="C117" t="s">
        <v>307</v>
      </c>
      <c r="D117" t="s">
        <v>308</v>
      </c>
      <c r="E117" s="2">
        <v>5585</v>
      </c>
      <c r="F117" s="2">
        <v>5585</v>
      </c>
      <c r="G117" s="2">
        <v>0</v>
      </c>
    </row>
    <row r="118" spans="3:7" x14ac:dyDescent="0.25">
      <c r="C118" t="s">
        <v>309</v>
      </c>
      <c r="D118" t="s">
        <v>310</v>
      </c>
      <c r="E118" s="2">
        <v>0</v>
      </c>
      <c r="F118" s="2">
        <v>7000</v>
      </c>
      <c r="G118" s="2">
        <v>0</v>
      </c>
    </row>
    <row r="119" spans="3:7" x14ac:dyDescent="0.25">
      <c r="C119" t="s">
        <v>311</v>
      </c>
      <c r="D119" t="s">
        <v>312</v>
      </c>
      <c r="E119" s="2">
        <v>0</v>
      </c>
      <c r="F119" s="2">
        <v>0</v>
      </c>
      <c r="G119" s="2">
        <v>0</v>
      </c>
    </row>
    <row r="120" spans="3:7" x14ac:dyDescent="0.25">
      <c r="C120" t="s">
        <v>313</v>
      </c>
      <c r="D120" t="s">
        <v>314</v>
      </c>
      <c r="E120" s="2">
        <v>1400</v>
      </c>
      <c r="F120" s="2">
        <v>1400</v>
      </c>
      <c r="G120" s="2">
        <v>0</v>
      </c>
    </row>
    <row r="121" spans="3:7" x14ac:dyDescent="0.25">
      <c r="C121" t="s">
        <v>315</v>
      </c>
      <c r="D121" t="s">
        <v>316</v>
      </c>
      <c r="E121" s="2">
        <v>0</v>
      </c>
      <c r="F121" s="2">
        <v>4.25</v>
      </c>
      <c r="G121" s="2">
        <v>0</v>
      </c>
    </row>
    <row r="122" spans="3:7" x14ac:dyDescent="0.25">
      <c r="C122" t="s">
        <v>317</v>
      </c>
      <c r="D122" t="s">
        <v>318</v>
      </c>
      <c r="E122" s="2">
        <v>333.46</v>
      </c>
      <c r="F122" s="2">
        <v>1696.63</v>
      </c>
      <c r="G122" s="2">
        <v>0</v>
      </c>
    </row>
    <row r="123" spans="3:7" x14ac:dyDescent="0.25">
      <c r="C123" t="s">
        <v>319</v>
      </c>
      <c r="D123" t="s">
        <v>320</v>
      </c>
      <c r="E123" s="2">
        <v>0</v>
      </c>
      <c r="F123" s="2">
        <v>0</v>
      </c>
      <c r="G123" s="2">
        <v>0</v>
      </c>
    </row>
    <row r="124" spans="3:7" x14ac:dyDescent="0.25">
      <c r="C124" t="s">
        <v>321</v>
      </c>
      <c r="D124" t="s">
        <v>322</v>
      </c>
      <c r="E124" s="2">
        <v>115.87</v>
      </c>
      <c r="F124" s="2">
        <v>1128.74</v>
      </c>
      <c r="G124" s="2">
        <v>0</v>
      </c>
    </row>
    <row r="125" spans="3:7" x14ac:dyDescent="0.25">
      <c r="C125" t="s">
        <v>323</v>
      </c>
      <c r="D125" t="s">
        <v>324</v>
      </c>
      <c r="E125" s="2">
        <v>0</v>
      </c>
      <c r="F125" s="2">
        <v>0</v>
      </c>
      <c r="G125" s="2">
        <v>0</v>
      </c>
    </row>
    <row r="126" spans="3:7" x14ac:dyDescent="0.25">
      <c r="C126" t="s">
        <v>325</v>
      </c>
      <c r="D126" t="s">
        <v>326</v>
      </c>
      <c r="E126" s="2">
        <v>0</v>
      </c>
      <c r="F126" s="2">
        <v>0</v>
      </c>
      <c r="G126" s="2">
        <v>0</v>
      </c>
    </row>
    <row r="127" spans="3:7" x14ac:dyDescent="0.25">
      <c r="C127" t="s">
        <v>327</v>
      </c>
      <c r="D127" t="s">
        <v>296</v>
      </c>
      <c r="E127" s="2">
        <v>0</v>
      </c>
      <c r="F127" s="2">
        <v>0</v>
      </c>
      <c r="G127" s="2">
        <v>0</v>
      </c>
    </row>
    <row r="128" spans="3:7" x14ac:dyDescent="0.25">
      <c r="C128" t="s">
        <v>328</v>
      </c>
      <c r="D128" t="s">
        <v>329</v>
      </c>
      <c r="E128" s="2">
        <v>0</v>
      </c>
      <c r="F128" s="2">
        <v>0</v>
      </c>
      <c r="G128" s="2">
        <v>0</v>
      </c>
    </row>
    <row r="129" spans="3:7" x14ac:dyDescent="0.25">
      <c r="C129" t="s">
        <v>330</v>
      </c>
      <c r="D129" t="s">
        <v>331</v>
      </c>
      <c r="E129" s="2">
        <v>0</v>
      </c>
      <c r="F129" s="2">
        <v>0</v>
      </c>
      <c r="G129" s="2">
        <v>0</v>
      </c>
    </row>
    <row r="130" spans="3:7" x14ac:dyDescent="0.25">
      <c r="C130" t="s">
        <v>332</v>
      </c>
      <c r="D130" t="s">
        <v>333</v>
      </c>
      <c r="E130" s="2">
        <v>0</v>
      </c>
      <c r="F130" s="2">
        <v>0</v>
      </c>
      <c r="G130" s="2">
        <v>0</v>
      </c>
    </row>
    <row r="131" spans="3:7" x14ac:dyDescent="0.25">
      <c r="C131" t="s">
        <v>334</v>
      </c>
      <c r="D131" t="s">
        <v>335</v>
      </c>
      <c r="E131" s="2">
        <v>0</v>
      </c>
      <c r="F131" s="2">
        <v>0</v>
      </c>
      <c r="G131" s="2">
        <v>0</v>
      </c>
    </row>
    <row r="132" spans="3:7" x14ac:dyDescent="0.25">
      <c r="C132" t="s">
        <v>336</v>
      </c>
      <c r="D132" t="s">
        <v>90</v>
      </c>
      <c r="E132" s="2">
        <v>0</v>
      </c>
      <c r="F132" s="2">
        <v>0</v>
      </c>
      <c r="G132" s="2">
        <v>0</v>
      </c>
    </row>
    <row r="133" spans="3:7" x14ac:dyDescent="0.25">
      <c r="C133" t="s">
        <v>337</v>
      </c>
      <c r="D133" t="s">
        <v>92</v>
      </c>
      <c r="E133" s="2">
        <v>0</v>
      </c>
      <c r="F133" s="2">
        <v>0</v>
      </c>
      <c r="G133" s="2">
        <v>0</v>
      </c>
    </row>
    <row r="134" spans="3:7" x14ac:dyDescent="0.25">
      <c r="C134" t="s">
        <v>338</v>
      </c>
      <c r="D134" t="s">
        <v>94</v>
      </c>
      <c r="E134" s="2">
        <v>-60038.78</v>
      </c>
      <c r="F134" s="2">
        <v>387611.22</v>
      </c>
      <c r="G134" s="2">
        <v>0</v>
      </c>
    </row>
    <row r="135" spans="3:7" x14ac:dyDescent="0.25">
      <c r="C135" t="s">
        <v>339</v>
      </c>
      <c r="D135" t="s">
        <v>96</v>
      </c>
      <c r="E135" s="2">
        <v>0</v>
      </c>
      <c r="F135" s="2">
        <v>0</v>
      </c>
      <c r="G135" s="2">
        <v>0</v>
      </c>
    </row>
    <row r="136" spans="3:7" x14ac:dyDescent="0.25">
      <c r="C136" t="s">
        <v>340</v>
      </c>
      <c r="D136" t="s">
        <v>98</v>
      </c>
      <c r="E136" s="2">
        <v>0</v>
      </c>
      <c r="F136" s="2">
        <v>48025</v>
      </c>
      <c r="G136" s="2">
        <v>48025</v>
      </c>
    </row>
    <row r="137" spans="3:7" x14ac:dyDescent="0.25">
      <c r="C137" t="s">
        <v>341</v>
      </c>
      <c r="D137" t="s">
        <v>100</v>
      </c>
      <c r="E137" s="2">
        <v>13384.58</v>
      </c>
      <c r="F137" s="2">
        <v>100422.33</v>
      </c>
      <c r="G137" s="2">
        <v>10210.25</v>
      </c>
    </row>
    <row r="138" spans="3:7" x14ac:dyDescent="0.25">
      <c r="C138" t="s">
        <v>342</v>
      </c>
      <c r="D138" t="s">
        <v>102</v>
      </c>
      <c r="E138" s="2">
        <v>206068.1</v>
      </c>
      <c r="F138" s="2">
        <v>449865.6</v>
      </c>
      <c r="G138" s="2">
        <v>0</v>
      </c>
    </row>
    <row r="139" spans="3:7" x14ac:dyDescent="0.25">
      <c r="C139" t="s">
        <v>343</v>
      </c>
      <c r="D139" t="s">
        <v>104</v>
      </c>
      <c r="E139" s="2">
        <v>0</v>
      </c>
      <c r="F139" s="2">
        <v>0</v>
      </c>
      <c r="G139" s="2">
        <v>0</v>
      </c>
    </row>
    <row r="140" spans="3:7" x14ac:dyDescent="0.25">
      <c r="C140" t="s">
        <v>344</v>
      </c>
      <c r="D140" t="s">
        <v>106</v>
      </c>
      <c r="E140" s="2">
        <v>0</v>
      </c>
      <c r="F140" s="2">
        <v>0</v>
      </c>
      <c r="G140" s="2">
        <v>0</v>
      </c>
    </row>
    <row r="141" spans="3:7" x14ac:dyDescent="0.25">
      <c r="C141" t="s">
        <v>345</v>
      </c>
      <c r="D141" t="s">
        <v>108</v>
      </c>
      <c r="E141" s="2">
        <v>0</v>
      </c>
      <c r="F141" s="2">
        <v>0</v>
      </c>
      <c r="G141" s="2">
        <v>0</v>
      </c>
    </row>
    <row r="142" spans="3:7" x14ac:dyDescent="0.25">
      <c r="C142" t="s">
        <v>346</v>
      </c>
      <c r="D142" t="s">
        <v>110</v>
      </c>
      <c r="E142" s="2">
        <v>0</v>
      </c>
      <c r="F142" s="2">
        <v>0</v>
      </c>
      <c r="G142" s="2">
        <v>0</v>
      </c>
    </row>
    <row r="143" spans="3:7" x14ac:dyDescent="0.25">
      <c r="C143" t="s">
        <v>347</v>
      </c>
      <c r="D143" t="s">
        <v>112</v>
      </c>
      <c r="E143" s="2">
        <v>0</v>
      </c>
      <c r="F143" s="2">
        <v>0</v>
      </c>
      <c r="G143" s="2">
        <v>0</v>
      </c>
    </row>
    <row r="144" spans="3:7" x14ac:dyDescent="0.25">
      <c r="C144" t="s">
        <v>348</v>
      </c>
      <c r="D144" t="s">
        <v>114</v>
      </c>
      <c r="E144" s="2">
        <v>0</v>
      </c>
      <c r="F144" s="2">
        <v>0</v>
      </c>
      <c r="G144" s="2">
        <v>0</v>
      </c>
    </row>
    <row r="145" spans="3:7" x14ac:dyDescent="0.25">
      <c r="C145" t="s">
        <v>349</v>
      </c>
      <c r="D145" t="s">
        <v>116</v>
      </c>
      <c r="E145" s="2">
        <v>0</v>
      </c>
      <c r="F145" s="2">
        <v>0</v>
      </c>
      <c r="G145" s="2">
        <v>0</v>
      </c>
    </row>
    <row r="146" spans="3:7" x14ac:dyDescent="0.25">
      <c r="C146" t="s">
        <v>350</v>
      </c>
      <c r="D146" t="s">
        <v>118</v>
      </c>
      <c r="E146" s="2">
        <v>0</v>
      </c>
      <c r="F146" s="2">
        <v>0</v>
      </c>
      <c r="G146" s="2">
        <v>0</v>
      </c>
    </row>
    <row r="147" spans="3:7" x14ac:dyDescent="0.25">
      <c r="C147" t="s">
        <v>351</v>
      </c>
      <c r="D147" t="s">
        <v>120</v>
      </c>
      <c r="E147" s="2">
        <v>0</v>
      </c>
      <c r="F147" s="2">
        <v>0</v>
      </c>
      <c r="G147" s="2">
        <v>0</v>
      </c>
    </row>
    <row r="148" spans="3:7" x14ac:dyDescent="0.25">
      <c r="C148" t="s">
        <v>352</v>
      </c>
      <c r="D148" t="s">
        <v>122</v>
      </c>
      <c r="E148" s="2">
        <v>0</v>
      </c>
      <c r="F148" s="2">
        <v>0</v>
      </c>
      <c r="G148" s="2">
        <v>0</v>
      </c>
    </row>
    <row r="149" spans="3:7" x14ac:dyDescent="0.25">
      <c r="C149" t="s">
        <v>353</v>
      </c>
      <c r="D149" t="s">
        <v>124</v>
      </c>
      <c r="E149" s="2">
        <v>0</v>
      </c>
      <c r="F149" s="2">
        <v>0</v>
      </c>
      <c r="G149" s="2">
        <v>0</v>
      </c>
    </row>
    <row r="150" spans="3:7" x14ac:dyDescent="0.25">
      <c r="C150" t="s">
        <v>354</v>
      </c>
      <c r="D150" t="s">
        <v>126</v>
      </c>
      <c r="E150" s="2">
        <v>0</v>
      </c>
      <c r="F150" s="2">
        <v>15322.44</v>
      </c>
      <c r="G150" s="2">
        <v>15322.44</v>
      </c>
    </row>
    <row r="151" spans="3:7" x14ac:dyDescent="0.25">
      <c r="C151" t="s">
        <v>355</v>
      </c>
      <c r="D151" t="s">
        <v>128</v>
      </c>
      <c r="E151" s="2">
        <v>0</v>
      </c>
      <c r="F151" s="2">
        <v>0</v>
      </c>
      <c r="G151" s="2">
        <v>0</v>
      </c>
    </row>
    <row r="152" spans="3:7" x14ac:dyDescent="0.25">
      <c r="C152" t="s">
        <v>356</v>
      </c>
      <c r="D152" t="s">
        <v>130</v>
      </c>
      <c r="E152" s="2">
        <v>0</v>
      </c>
      <c r="F152" s="2">
        <v>0</v>
      </c>
      <c r="G152" s="2">
        <v>0</v>
      </c>
    </row>
    <row r="153" spans="3:7" x14ac:dyDescent="0.25">
      <c r="C153" t="s">
        <v>357</v>
      </c>
      <c r="D153" t="s">
        <v>132</v>
      </c>
      <c r="E153" s="2">
        <v>0</v>
      </c>
      <c r="F153" s="2">
        <v>0</v>
      </c>
      <c r="G153" s="2">
        <v>0</v>
      </c>
    </row>
    <row r="154" spans="3:7" x14ac:dyDescent="0.25">
      <c r="C154" t="s">
        <v>358</v>
      </c>
      <c r="D154" t="s">
        <v>134</v>
      </c>
      <c r="E154" s="2">
        <v>0</v>
      </c>
      <c r="F154" s="2">
        <v>0</v>
      </c>
      <c r="G154" s="2">
        <v>0</v>
      </c>
    </row>
    <row r="155" spans="3:7" x14ac:dyDescent="0.25">
      <c r="C155" t="s">
        <v>359</v>
      </c>
      <c r="D155" t="s">
        <v>136</v>
      </c>
      <c r="E155" s="2">
        <v>0</v>
      </c>
      <c r="F155" s="2">
        <v>0</v>
      </c>
      <c r="G155" s="2">
        <v>0</v>
      </c>
    </row>
    <row r="156" spans="3:7" x14ac:dyDescent="0.25">
      <c r="C156" t="s">
        <v>360</v>
      </c>
      <c r="D156" t="s">
        <v>138</v>
      </c>
      <c r="E156" s="2">
        <v>0</v>
      </c>
      <c r="F156" s="2">
        <v>0</v>
      </c>
      <c r="G156" s="2">
        <v>0</v>
      </c>
    </row>
    <row r="157" spans="3:7" x14ac:dyDescent="0.25">
      <c r="C157" t="s">
        <v>361</v>
      </c>
      <c r="D157" t="s">
        <v>140</v>
      </c>
      <c r="E157" s="2">
        <v>0</v>
      </c>
      <c r="F157" s="2">
        <v>0</v>
      </c>
      <c r="G157" s="2">
        <v>0</v>
      </c>
    </row>
    <row r="158" spans="3:7" x14ac:dyDescent="0.25">
      <c r="C158" t="s">
        <v>362</v>
      </c>
      <c r="D158" t="s">
        <v>142</v>
      </c>
      <c r="E158" s="2">
        <v>0</v>
      </c>
      <c r="F158" s="2">
        <v>0</v>
      </c>
      <c r="G158" s="2">
        <v>0</v>
      </c>
    </row>
    <row r="159" spans="3:7" x14ac:dyDescent="0.25">
      <c r="C159" t="s">
        <v>363</v>
      </c>
      <c r="D159" t="s">
        <v>144</v>
      </c>
      <c r="E159" s="2">
        <v>0</v>
      </c>
      <c r="F159" s="2">
        <v>0</v>
      </c>
      <c r="G159" s="2">
        <v>0</v>
      </c>
    </row>
    <row r="160" spans="3:7" x14ac:dyDescent="0.25">
      <c r="C160" t="s">
        <v>364</v>
      </c>
      <c r="D160" t="s">
        <v>146</v>
      </c>
      <c r="E160" s="2">
        <v>0</v>
      </c>
      <c r="F160" s="2">
        <v>0</v>
      </c>
      <c r="G160" s="2">
        <v>0</v>
      </c>
    </row>
    <row r="161" spans="3:7" x14ac:dyDescent="0.25">
      <c r="C161" t="s">
        <v>365</v>
      </c>
      <c r="D161" t="s">
        <v>148</v>
      </c>
      <c r="E161" s="2">
        <v>0</v>
      </c>
      <c r="F161" s="2">
        <v>0</v>
      </c>
      <c r="G161" s="2">
        <v>0</v>
      </c>
    </row>
    <row r="162" spans="3:7" x14ac:dyDescent="0.25">
      <c r="C162" t="s">
        <v>366</v>
      </c>
      <c r="D162" t="s">
        <v>150</v>
      </c>
      <c r="E162" s="2">
        <v>0</v>
      </c>
      <c r="F162" s="2">
        <v>0</v>
      </c>
      <c r="G162" s="2">
        <v>0</v>
      </c>
    </row>
    <row r="163" spans="3:7" x14ac:dyDescent="0.25">
      <c r="C163" t="s">
        <v>367</v>
      </c>
      <c r="D163" t="s">
        <v>152</v>
      </c>
      <c r="E163" s="2">
        <v>-44232.79</v>
      </c>
      <c r="F163" s="2">
        <v>-53977.39</v>
      </c>
      <c r="G163" s="2">
        <v>-18192.39</v>
      </c>
    </row>
    <row r="164" spans="3:7" x14ac:dyDescent="0.25">
      <c r="C164" t="s">
        <v>368</v>
      </c>
      <c r="D164" t="s">
        <v>154</v>
      </c>
      <c r="E164" s="2">
        <v>0</v>
      </c>
      <c r="F164" s="2">
        <v>0</v>
      </c>
      <c r="G164" s="2">
        <v>0</v>
      </c>
    </row>
    <row r="165" spans="3:7" x14ac:dyDescent="0.25">
      <c r="C165" t="s">
        <v>369</v>
      </c>
      <c r="D165" t="s">
        <v>156</v>
      </c>
      <c r="E165" s="2">
        <v>-81331.45</v>
      </c>
      <c r="F165" s="2">
        <v>-285854.71999999997</v>
      </c>
      <c r="G165" s="2">
        <v>85942.64</v>
      </c>
    </row>
    <row r="166" spans="3:7" x14ac:dyDescent="0.25">
      <c r="C166" t="s">
        <v>370</v>
      </c>
      <c r="D166" t="s">
        <v>158</v>
      </c>
      <c r="E166" s="2">
        <v>-9255.58</v>
      </c>
      <c r="F166" s="2">
        <v>-13729.08</v>
      </c>
      <c r="G166" s="2">
        <v>-7225.5</v>
      </c>
    </row>
    <row r="167" spans="3:7" x14ac:dyDescent="0.25">
      <c r="C167" t="s">
        <v>371</v>
      </c>
      <c r="D167" t="s">
        <v>160</v>
      </c>
      <c r="E167" s="2">
        <v>0</v>
      </c>
      <c r="F167" s="2">
        <v>-1073.1500000000001</v>
      </c>
      <c r="G167" s="2">
        <v>-1017.08</v>
      </c>
    </row>
    <row r="168" spans="3:7" x14ac:dyDescent="0.25">
      <c r="C168" t="s">
        <v>372</v>
      </c>
      <c r="D168" t="s">
        <v>162</v>
      </c>
      <c r="E168" s="2">
        <v>0</v>
      </c>
      <c r="F168" s="2">
        <v>0</v>
      </c>
      <c r="G168" s="2">
        <v>0</v>
      </c>
    </row>
    <row r="169" spans="3:7" x14ac:dyDescent="0.25">
      <c r="C169" t="s">
        <v>373</v>
      </c>
      <c r="D169" t="s">
        <v>164</v>
      </c>
      <c r="E169" s="2">
        <v>-153827.70000000001</v>
      </c>
      <c r="F169" s="2">
        <v>-783054.54</v>
      </c>
      <c r="G169" s="2">
        <v>-128559.98</v>
      </c>
    </row>
    <row r="170" spans="3:7" x14ac:dyDescent="0.25">
      <c r="C170" t="s">
        <v>374</v>
      </c>
      <c r="D170" t="s">
        <v>166</v>
      </c>
      <c r="E170" s="2">
        <v>-6600</v>
      </c>
      <c r="F170" s="2">
        <v>-6600</v>
      </c>
      <c r="G170" s="2">
        <v>0</v>
      </c>
    </row>
    <row r="171" spans="3:7" x14ac:dyDescent="0.25">
      <c r="C171" t="s">
        <v>375</v>
      </c>
      <c r="D171" t="s">
        <v>168</v>
      </c>
      <c r="E171" s="2">
        <v>0</v>
      </c>
      <c r="F171" s="2">
        <v>0</v>
      </c>
      <c r="G171" s="2">
        <v>0</v>
      </c>
    </row>
    <row r="172" spans="3:7" x14ac:dyDescent="0.25">
      <c r="C172" t="s">
        <v>376</v>
      </c>
      <c r="D172" t="s">
        <v>170</v>
      </c>
      <c r="E172" s="2">
        <v>0</v>
      </c>
      <c r="F172" s="2">
        <v>0</v>
      </c>
      <c r="G172" s="2">
        <v>0</v>
      </c>
    </row>
    <row r="173" spans="3:7" x14ac:dyDescent="0.25">
      <c r="C173" t="s">
        <v>377</v>
      </c>
      <c r="D173" t="s">
        <v>172</v>
      </c>
      <c r="E173" s="2">
        <v>0</v>
      </c>
      <c r="F173" s="2">
        <v>0</v>
      </c>
      <c r="G173" s="2">
        <v>0</v>
      </c>
    </row>
    <row r="174" spans="3:7" x14ac:dyDescent="0.25">
      <c r="C174" t="s">
        <v>378</v>
      </c>
      <c r="D174" t="s">
        <v>174</v>
      </c>
      <c r="E174" s="2">
        <v>0</v>
      </c>
      <c r="F174" s="2">
        <v>0</v>
      </c>
      <c r="G174" s="2">
        <v>0</v>
      </c>
    </row>
    <row r="175" spans="3:7" x14ac:dyDescent="0.25">
      <c r="C175" t="s">
        <v>379</v>
      </c>
      <c r="D175" t="s">
        <v>176</v>
      </c>
      <c r="E175" s="2">
        <v>0</v>
      </c>
      <c r="F175" s="2">
        <v>0</v>
      </c>
      <c r="G175" s="2">
        <v>0</v>
      </c>
    </row>
    <row r="176" spans="3:7" x14ac:dyDescent="0.25">
      <c r="C176" t="s">
        <v>380</v>
      </c>
      <c r="D176" t="s">
        <v>178</v>
      </c>
      <c r="E176" s="2">
        <v>0</v>
      </c>
      <c r="F176" s="2">
        <v>0</v>
      </c>
      <c r="G176" s="2">
        <v>0</v>
      </c>
    </row>
    <row r="177" spans="3:7" x14ac:dyDescent="0.25">
      <c r="C177" t="s">
        <v>381</v>
      </c>
      <c r="D177" t="s">
        <v>180</v>
      </c>
      <c r="E177" s="2">
        <v>0</v>
      </c>
      <c r="F177" s="2">
        <v>0</v>
      </c>
      <c r="G177" s="2">
        <v>0</v>
      </c>
    </row>
    <row r="178" spans="3:7" x14ac:dyDescent="0.25">
      <c r="C178" t="s">
        <v>382</v>
      </c>
      <c r="D178" t="s">
        <v>182</v>
      </c>
      <c r="E178" s="2">
        <v>0</v>
      </c>
      <c r="F178" s="2">
        <v>0</v>
      </c>
      <c r="G178" s="2">
        <v>0</v>
      </c>
    </row>
    <row r="179" spans="3:7" x14ac:dyDescent="0.25">
      <c r="C179" t="s">
        <v>383</v>
      </c>
      <c r="D179" t="s">
        <v>184</v>
      </c>
      <c r="E179" s="2">
        <v>0</v>
      </c>
      <c r="F179" s="2">
        <v>-4362.45</v>
      </c>
      <c r="G179" s="2">
        <v>0</v>
      </c>
    </row>
    <row r="180" spans="3:7" x14ac:dyDescent="0.25">
      <c r="C180" t="s">
        <v>384</v>
      </c>
      <c r="D180" t="s">
        <v>186</v>
      </c>
      <c r="E180" s="2">
        <v>0</v>
      </c>
      <c r="F180" s="2">
        <v>0</v>
      </c>
      <c r="G180" s="2">
        <v>0</v>
      </c>
    </row>
    <row r="181" spans="3:7" x14ac:dyDescent="0.25">
      <c r="C181" t="s">
        <v>385</v>
      </c>
      <c r="D181" t="s">
        <v>188</v>
      </c>
      <c r="E181" s="2">
        <v>0</v>
      </c>
      <c r="F181" s="2">
        <v>0</v>
      </c>
      <c r="G181" s="2">
        <v>0</v>
      </c>
    </row>
    <row r="182" spans="3:7" x14ac:dyDescent="0.25">
      <c r="C182" t="s">
        <v>386</v>
      </c>
      <c r="D182" t="s">
        <v>190</v>
      </c>
      <c r="E182" s="2">
        <v>0</v>
      </c>
      <c r="F182" s="2">
        <v>0</v>
      </c>
      <c r="G182" s="2">
        <v>0</v>
      </c>
    </row>
    <row r="183" spans="3:7" x14ac:dyDescent="0.25">
      <c r="C183" t="s">
        <v>387</v>
      </c>
      <c r="D183" t="s">
        <v>192</v>
      </c>
      <c r="E183" s="2">
        <v>0</v>
      </c>
      <c r="F183" s="2">
        <v>0</v>
      </c>
      <c r="G183" s="2">
        <v>0</v>
      </c>
    </row>
    <row r="184" spans="3:7" x14ac:dyDescent="0.25">
      <c r="C184" t="s">
        <v>388</v>
      </c>
      <c r="D184" t="s">
        <v>194</v>
      </c>
      <c r="E184" s="2">
        <v>0</v>
      </c>
      <c r="F184" s="2">
        <v>0</v>
      </c>
      <c r="G184" s="2">
        <v>0</v>
      </c>
    </row>
    <row r="185" spans="3:7" x14ac:dyDescent="0.25">
      <c r="C185" t="s">
        <v>389</v>
      </c>
      <c r="D185" t="s">
        <v>196</v>
      </c>
      <c r="E185" s="2">
        <v>0</v>
      </c>
      <c r="F185" s="2">
        <v>0</v>
      </c>
      <c r="G185" s="2">
        <v>0</v>
      </c>
    </row>
    <row r="186" spans="3:7" x14ac:dyDescent="0.25">
      <c r="C186" t="s">
        <v>390</v>
      </c>
      <c r="D186" t="s">
        <v>198</v>
      </c>
      <c r="E186" s="2">
        <v>0</v>
      </c>
      <c r="F186" s="2">
        <v>0</v>
      </c>
      <c r="G186" s="2">
        <v>0</v>
      </c>
    </row>
    <row r="187" spans="3:7" x14ac:dyDescent="0.25">
      <c r="C187" t="s">
        <v>391</v>
      </c>
      <c r="D187" t="s">
        <v>200</v>
      </c>
      <c r="E187" s="2">
        <v>0</v>
      </c>
      <c r="F187" s="2">
        <v>0</v>
      </c>
      <c r="G187" s="2">
        <v>0</v>
      </c>
    </row>
    <row r="188" spans="3:7" x14ac:dyDescent="0.25">
      <c r="C188" t="s">
        <v>392</v>
      </c>
      <c r="D188" t="s">
        <v>202</v>
      </c>
      <c r="E188" s="2">
        <v>0</v>
      </c>
      <c r="F188" s="2">
        <v>0</v>
      </c>
      <c r="G188" s="2">
        <v>0</v>
      </c>
    </row>
    <row r="189" spans="3:7" x14ac:dyDescent="0.25">
      <c r="C189" t="s">
        <v>393</v>
      </c>
      <c r="D189" t="s">
        <v>204</v>
      </c>
      <c r="E189" s="2">
        <v>0</v>
      </c>
      <c r="F189" s="2">
        <v>0</v>
      </c>
      <c r="G189" s="2">
        <v>0</v>
      </c>
    </row>
    <row r="190" spans="3:7" x14ac:dyDescent="0.25">
      <c r="C190" t="s">
        <v>394</v>
      </c>
      <c r="D190" t="s">
        <v>206</v>
      </c>
      <c r="E190" s="2">
        <v>0</v>
      </c>
      <c r="F190" s="2">
        <v>0</v>
      </c>
      <c r="G190" s="2">
        <v>0</v>
      </c>
    </row>
    <row r="191" spans="3:7" x14ac:dyDescent="0.25">
      <c r="C191" t="s">
        <v>395</v>
      </c>
      <c r="D191" t="s">
        <v>208</v>
      </c>
      <c r="E191" s="2">
        <v>0</v>
      </c>
      <c r="F191" s="2">
        <v>0</v>
      </c>
      <c r="G191" s="2">
        <v>0</v>
      </c>
    </row>
    <row r="192" spans="3:7" x14ac:dyDescent="0.25">
      <c r="C192" t="s">
        <v>396</v>
      </c>
      <c r="D192" t="s">
        <v>210</v>
      </c>
      <c r="E192" s="2">
        <v>0</v>
      </c>
      <c r="F192" s="2">
        <v>0</v>
      </c>
      <c r="G192" s="2">
        <v>0</v>
      </c>
    </row>
    <row r="193" spans="3:7" x14ac:dyDescent="0.25">
      <c r="C193" t="s">
        <v>397</v>
      </c>
      <c r="D193" t="s">
        <v>212</v>
      </c>
      <c r="E193" s="2">
        <v>0</v>
      </c>
      <c r="F193" s="2">
        <v>0</v>
      </c>
      <c r="G193" s="2">
        <v>0</v>
      </c>
    </row>
    <row r="194" spans="3:7" x14ac:dyDescent="0.25">
      <c r="C194" t="s">
        <v>398</v>
      </c>
      <c r="D194" t="s">
        <v>214</v>
      </c>
      <c r="E194" s="2">
        <v>0</v>
      </c>
      <c r="F194" s="2">
        <v>-3733.34</v>
      </c>
      <c r="G194" s="2">
        <v>-3733.34</v>
      </c>
    </row>
    <row r="195" spans="3:7" x14ac:dyDescent="0.25">
      <c r="C195" t="s">
        <v>57</v>
      </c>
      <c r="D195" t="s">
        <v>215</v>
      </c>
      <c r="E195" s="2">
        <v>-163345.79999999999</v>
      </c>
      <c r="F195" s="2">
        <v>-931620.8</v>
      </c>
      <c r="G195" s="2">
        <v>0</v>
      </c>
    </row>
    <row r="196" spans="3:7" x14ac:dyDescent="0.25">
      <c r="C196" t="s">
        <v>399</v>
      </c>
      <c r="D196" t="s">
        <v>217</v>
      </c>
      <c r="E196" s="2">
        <v>-88.5</v>
      </c>
      <c r="F196" s="2">
        <v>-124.3</v>
      </c>
      <c r="G196" s="2">
        <v>-772.04</v>
      </c>
    </row>
    <row r="197" spans="3:7" x14ac:dyDescent="0.25">
      <c r="C197" t="s">
        <v>400</v>
      </c>
      <c r="D197" t="s">
        <v>219</v>
      </c>
      <c r="E197" s="2">
        <v>0</v>
      </c>
      <c r="F197" s="2">
        <v>0</v>
      </c>
      <c r="G197" s="2">
        <v>0</v>
      </c>
    </row>
    <row r="198" spans="3:7" x14ac:dyDescent="0.25">
      <c r="C198" t="s">
        <v>401</v>
      </c>
      <c r="D198" t="s">
        <v>221</v>
      </c>
      <c r="E198" s="2">
        <v>0</v>
      </c>
      <c r="F198" s="2">
        <v>0</v>
      </c>
      <c r="G198" s="2">
        <v>0</v>
      </c>
    </row>
    <row r="199" spans="3:7" x14ac:dyDescent="0.25">
      <c r="C199" t="s">
        <v>402</v>
      </c>
      <c r="D199" t="s">
        <v>223</v>
      </c>
      <c r="E199" s="2">
        <v>0</v>
      </c>
      <c r="F199" s="2">
        <v>0</v>
      </c>
      <c r="G199" s="2">
        <v>0</v>
      </c>
    </row>
    <row r="200" spans="3:7" x14ac:dyDescent="0.25">
      <c r="C200" t="s">
        <v>403</v>
      </c>
      <c r="D200" t="s">
        <v>225</v>
      </c>
      <c r="E200" s="2">
        <v>0</v>
      </c>
      <c r="F200" s="2">
        <v>0</v>
      </c>
      <c r="G200" s="2">
        <v>0</v>
      </c>
    </row>
    <row r="201" spans="3:7" x14ac:dyDescent="0.25">
      <c r="C201" t="s">
        <v>404</v>
      </c>
      <c r="D201" t="s">
        <v>227</v>
      </c>
      <c r="E201" s="2">
        <v>0</v>
      </c>
      <c r="F201" s="2">
        <v>0</v>
      </c>
      <c r="G201" s="2">
        <v>0</v>
      </c>
    </row>
    <row r="202" spans="3:7" x14ac:dyDescent="0.25">
      <c r="C202" t="s">
        <v>405</v>
      </c>
      <c r="D202" t="s">
        <v>229</v>
      </c>
      <c r="E202" s="2">
        <v>0</v>
      </c>
      <c r="F202" s="2">
        <v>0</v>
      </c>
      <c r="G202" s="2">
        <v>0</v>
      </c>
    </row>
    <row r="203" spans="3:7" x14ac:dyDescent="0.25">
      <c r="C203" t="s">
        <v>406</v>
      </c>
      <c r="D203" t="s">
        <v>231</v>
      </c>
      <c r="E203" s="2">
        <v>0</v>
      </c>
      <c r="F203" s="2">
        <v>0</v>
      </c>
      <c r="G203" s="2">
        <v>0</v>
      </c>
    </row>
    <row r="204" spans="3:7" x14ac:dyDescent="0.25">
      <c r="C204" t="s">
        <v>407</v>
      </c>
      <c r="D204" t="s">
        <v>233</v>
      </c>
      <c r="E204" s="2">
        <v>0</v>
      </c>
      <c r="F204" s="2">
        <v>0</v>
      </c>
      <c r="G204" s="2">
        <v>0</v>
      </c>
    </row>
    <row r="205" spans="3:7" x14ac:dyDescent="0.25">
      <c r="C205" t="s">
        <v>408</v>
      </c>
      <c r="D205" t="s">
        <v>235</v>
      </c>
      <c r="E205" s="2">
        <v>0</v>
      </c>
      <c r="F205" s="2">
        <v>0</v>
      </c>
      <c r="G205" s="2">
        <v>0</v>
      </c>
    </row>
    <row r="206" spans="3:7" x14ac:dyDescent="0.25">
      <c r="C206" t="s">
        <v>409</v>
      </c>
      <c r="D206" t="s">
        <v>237</v>
      </c>
      <c r="E206" s="2">
        <v>0</v>
      </c>
      <c r="F206" s="2">
        <v>0</v>
      </c>
      <c r="G206" s="2">
        <v>0</v>
      </c>
    </row>
    <row r="207" spans="3:7" x14ac:dyDescent="0.25">
      <c r="C207" t="s">
        <v>410</v>
      </c>
      <c r="D207" t="s">
        <v>239</v>
      </c>
      <c r="E207" s="2">
        <v>0</v>
      </c>
      <c r="F207" s="2">
        <v>0</v>
      </c>
      <c r="G207" s="2">
        <v>0</v>
      </c>
    </row>
    <row r="208" spans="3:7" x14ac:dyDescent="0.25">
      <c r="C208" t="s">
        <v>411</v>
      </c>
      <c r="D208" t="s">
        <v>241</v>
      </c>
      <c r="E208" s="2">
        <v>87378.33</v>
      </c>
      <c r="F208" s="2">
        <v>351805.22</v>
      </c>
      <c r="G208" s="2">
        <v>0</v>
      </c>
    </row>
    <row r="209" spans="3:7" x14ac:dyDescent="0.25">
      <c r="C209" t="s">
        <v>412</v>
      </c>
      <c r="D209" t="s">
        <v>243</v>
      </c>
      <c r="E209" s="2">
        <v>97198.8</v>
      </c>
      <c r="F209" s="2">
        <v>152652.29999999999</v>
      </c>
      <c r="G209" s="2">
        <v>0</v>
      </c>
    </row>
    <row r="210" spans="3:7" x14ac:dyDescent="0.25">
      <c r="C210" t="s">
        <v>413</v>
      </c>
      <c r="D210" t="s">
        <v>245</v>
      </c>
      <c r="E210" s="2">
        <v>95920.23</v>
      </c>
      <c r="F210" s="2">
        <v>362880.26</v>
      </c>
      <c r="G210" s="2">
        <v>0</v>
      </c>
    </row>
    <row r="211" spans="3:7" x14ac:dyDescent="0.25">
      <c r="C211" t="s">
        <v>414</v>
      </c>
      <c r="D211" t="s">
        <v>247</v>
      </c>
      <c r="E211" s="2">
        <v>17186.599999999999</v>
      </c>
      <c r="F211" s="2">
        <v>168879.8</v>
      </c>
      <c r="G211" s="2">
        <v>0</v>
      </c>
    </row>
    <row r="212" spans="3:7" x14ac:dyDescent="0.25">
      <c r="C212" t="s">
        <v>415</v>
      </c>
      <c r="D212" t="s">
        <v>249</v>
      </c>
      <c r="E212" s="2">
        <v>831.99</v>
      </c>
      <c r="F212" s="2">
        <v>38337.800000000003</v>
      </c>
      <c r="G212" s="2">
        <v>0</v>
      </c>
    </row>
    <row r="213" spans="3:7" x14ac:dyDescent="0.25">
      <c r="C213" t="s">
        <v>416</v>
      </c>
      <c r="D213" t="s">
        <v>251</v>
      </c>
      <c r="E213" s="2">
        <v>0</v>
      </c>
      <c r="F213" s="2">
        <v>0</v>
      </c>
      <c r="G213" s="2">
        <v>0</v>
      </c>
    </row>
    <row r="214" spans="3:7" x14ac:dyDescent="0.25">
      <c r="C214" t="s">
        <v>417</v>
      </c>
      <c r="D214" t="s">
        <v>253</v>
      </c>
      <c r="E214" s="2">
        <v>0</v>
      </c>
      <c r="F214" s="2">
        <v>0</v>
      </c>
      <c r="G214" s="2">
        <v>0</v>
      </c>
    </row>
    <row r="215" spans="3:7" x14ac:dyDescent="0.25">
      <c r="C215" t="s">
        <v>418</v>
      </c>
      <c r="D215" t="s">
        <v>255</v>
      </c>
      <c r="E215" s="2">
        <v>0</v>
      </c>
      <c r="F215" s="2">
        <v>0</v>
      </c>
      <c r="G215" s="2">
        <v>0</v>
      </c>
    </row>
    <row r="216" spans="3:7" x14ac:dyDescent="0.25">
      <c r="C216" t="s">
        <v>419</v>
      </c>
      <c r="D216" t="s">
        <v>257</v>
      </c>
      <c r="E216" s="2">
        <v>0</v>
      </c>
      <c r="F216" s="2">
        <v>0</v>
      </c>
      <c r="G216" s="2">
        <v>0</v>
      </c>
    </row>
    <row r="217" spans="3:7" x14ac:dyDescent="0.25">
      <c r="C217" t="s">
        <v>420</v>
      </c>
      <c r="D217" t="s">
        <v>259</v>
      </c>
      <c r="E217" s="2">
        <v>0</v>
      </c>
      <c r="F217" s="2">
        <v>0</v>
      </c>
      <c r="G217" s="2">
        <v>0</v>
      </c>
    </row>
    <row r="218" spans="3:7" x14ac:dyDescent="0.25">
      <c r="C218" t="s">
        <v>421</v>
      </c>
      <c r="D218" t="s">
        <v>261</v>
      </c>
      <c r="E218" s="2">
        <v>0</v>
      </c>
      <c r="F218" s="2">
        <v>0</v>
      </c>
      <c r="G218" s="2">
        <v>0</v>
      </c>
    </row>
    <row r="219" spans="3:7" x14ac:dyDescent="0.25">
      <c r="C219" t="s">
        <v>422</v>
      </c>
      <c r="D219" t="s">
        <v>263</v>
      </c>
      <c r="E219" s="2">
        <v>0</v>
      </c>
      <c r="F219" s="2">
        <v>0</v>
      </c>
      <c r="G219" s="2">
        <v>0</v>
      </c>
    </row>
    <row r="220" spans="3:7" x14ac:dyDescent="0.25">
      <c r="C220" t="s">
        <v>423</v>
      </c>
      <c r="D220" t="s">
        <v>265</v>
      </c>
      <c r="E220" s="2">
        <v>0</v>
      </c>
      <c r="F220" s="2">
        <v>0</v>
      </c>
      <c r="G220" s="2">
        <v>0</v>
      </c>
    </row>
    <row r="221" spans="3:7" x14ac:dyDescent="0.25">
      <c r="C221" t="s">
        <v>424</v>
      </c>
      <c r="D221" t="s">
        <v>267</v>
      </c>
      <c r="E221" s="2">
        <v>0</v>
      </c>
      <c r="F221" s="2">
        <v>0</v>
      </c>
      <c r="G221" s="2">
        <v>0</v>
      </c>
    </row>
    <row r="222" spans="3:7" x14ac:dyDescent="0.25">
      <c r="C222" t="s">
        <v>425</v>
      </c>
      <c r="D222" t="s">
        <v>269</v>
      </c>
      <c r="E222" s="2">
        <v>0</v>
      </c>
      <c r="F222" s="2">
        <v>0</v>
      </c>
      <c r="G222" s="2">
        <v>0</v>
      </c>
    </row>
    <row r="223" spans="3:7" x14ac:dyDescent="0.25">
      <c r="C223" t="s">
        <v>426</v>
      </c>
      <c r="D223" t="s">
        <v>271</v>
      </c>
      <c r="E223" s="2">
        <v>0</v>
      </c>
      <c r="F223" s="2">
        <v>0</v>
      </c>
      <c r="G223" s="2">
        <v>0</v>
      </c>
    </row>
    <row r="224" spans="3:7" x14ac:dyDescent="0.25">
      <c r="C224" t="s">
        <v>427</v>
      </c>
      <c r="D224" t="s">
        <v>273</v>
      </c>
      <c r="E224" s="2">
        <v>1132.2</v>
      </c>
      <c r="F224" s="2">
        <v>9363.6</v>
      </c>
      <c r="G224" s="2">
        <v>0</v>
      </c>
    </row>
    <row r="225" spans="3:7" x14ac:dyDescent="0.25">
      <c r="C225" t="s">
        <v>428</v>
      </c>
      <c r="D225" t="s">
        <v>275</v>
      </c>
      <c r="E225" s="2">
        <v>74</v>
      </c>
      <c r="F225" s="2">
        <v>612</v>
      </c>
      <c r="G225" s="2">
        <v>0</v>
      </c>
    </row>
    <row r="226" spans="3:7" x14ac:dyDescent="0.25">
      <c r="C226" t="s">
        <v>429</v>
      </c>
      <c r="D226" t="s">
        <v>277</v>
      </c>
      <c r="E226" s="2">
        <v>0</v>
      </c>
      <c r="F226" s="2">
        <v>0</v>
      </c>
      <c r="G226" s="2">
        <v>0</v>
      </c>
    </row>
    <row r="227" spans="3:7" x14ac:dyDescent="0.25">
      <c r="C227" t="s">
        <v>430</v>
      </c>
      <c r="D227" t="s">
        <v>279</v>
      </c>
      <c r="E227" s="2">
        <v>0</v>
      </c>
      <c r="F227" s="2">
        <v>0</v>
      </c>
      <c r="G227" s="2">
        <v>0</v>
      </c>
    </row>
    <row r="228" spans="3:7" x14ac:dyDescent="0.25">
      <c r="C228" t="s">
        <v>431</v>
      </c>
      <c r="D228" t="s">
        <v>281</v>
      </c>
      <c r="E228" s="2">
        <v>92.37</v>
      </c>
      <c r="F228" s="2">
        <v>764.04</v>
      </c>
      <c r="G228" s="2">
        <v>0</v>
      </c>
    </row>
    <row r="229" spans="3:7" x14ac:dyDescent="0.25">
      <c r="C229" t="s">
        <v>432</v>
      </c>
      <c r="D229" t="s">
        <v>283</v>
      </c>
      <c r="E229" s="2">
        <v>0</v>
      </c>
      <c r="F229" s="2">
        <v>0</v>
      </c>
      <c r="G229" s="2">
        <v>0</v>
      </c>
    </row>
    <row r="230" spans="3:7" x14ac:dyDescent="0.25">
      <c r="C230" t="s">
        <v>433</v>
      </c>
      <c r="D230" t="s">
        <v>285</v>
      </c>
      <c r="E230" s="2">
        <v>-546.6</v>
      </c>
      <c r="F230" s="2">
        <v>-1639.8</v>
      </c>
      <c r="G230" s="2">
        <v>0</v>
      </c>
    </row>
    <row r="231" spans="3:7" x14ac:dyDescent="0.25">
      <c r="C231" t="s">
        <v>434</v>
      </c>
      <c r="D231" t="s">
        <v>287</v>
      </c>
      <c r="E231" s="2">
        <v>0</v>
      </c>
      <c r="F231" s="2">
        <v>0</v>
      </c>
      <c r="G231" s="2">
        <v>0</v>
      </c>
    </row>
    <row r="232" spans="3:7" x14ac:dyDescent="0.25">
      <c r="C232" t="s">
        <v>435</v>
      </c>
      <c r="D232" t="s">
        <v>289</v>
      </c>
      <c r="E232" s="2">
        <v>0</v>
      </c>
      <c r="F232" s="2">
        <v>0</v>
      </c>
      <c r="G232" s="2">
        <v>0</v>
      </c>
    </row>
    <row r="233" spans="3:7" x14ac:dyDescent="0.25">
      <c r="C233" t="s">
        <v>436</v>
      </c>
      <c r="D233" t="s">
        <v>291</v>
      </c>
      <c r="E233" s="2">
        <v>0</v>
      </c>
      <c r="F233" s="2">
        <v>0</v>
      </c>
      <c r="G233" s="2">
        <v>0</v>
      </c>
    </row>
    <row r="234" spans="3:7" x14ac:dyDescent="0.25">
      <c r="C234" t="s">
        <v>437</v>
      </c>
      <c r="D234" t="s">
        <v>293</v>
      </c>
      <c r="E234" s="2">
        <v>0</v>
      </c>
      <c r="F234" s="2">
        <v>0</v>
      </c>
      <c r="G234" s="2">
        <v>0</v>
      </c>
    </row>
    <row r="235" spans="3:7" x14ac:dyDescent="0.25">
      <c r="C235" t="s">
        <v>438</v>
      </c>
      <c r="D235" t="s">
        <v>17</v>
      </c>
      <c r="E235" s="2">
        <v>0</v>
      </c>
      <c r="F235" s="2">
        <v>0</v>
      </c>
      <c r="G235" s="2">
        <v>0</v>
      </c>
    </row>
    <row r="236" spans="3:7" x14ac:dyDescent="0.25">
      <c r="C236" t="s">
        <v>439</v>
      </c>
      <c r="D236" t="s">
        <v>296</v>
      </c>
      <c r="E236" s="2">
        <v>0</v>
      </c>
      <c r="F236" s="2">
        <v>0</v>
      </c>
      <c r="G236" s="2">
        <v>0</v>
      </c>
    </row>
    <row r="237" spans="3:7" x14ac:dyDescent="0.25">
      <c r="C237" t="s">
        <v>440</v>
      </c>
      <c r="D237" t="s">
        <v>298</v>
      </c>
      <c r="E237" s="2">
        <v>0</v>
      </c>
      <c r="F237" s="2">
        <v>0</v>
      </c>
      <c r="G237" s="2">
        <v>0</v>
      </c>
    </row>
    <row r="238" spans="3:7" x14ac:dyDescent="0.25">
      <c r="C238" t="s">
        <v>441</v>
      </c>
      <c r="D238" t="s">
        <v>300</v>
      </c>
      <c r="E238" s="2">
        <v>0</v>
      </c>
      <c r="F238" s="2">
        <v>0</v>
      </c>
      <c r="G238" s="2">
        <v>0</v>
      </c>
    </row>
    <row r="239" spans="3:7" x14ac:dyDescent="0.25">
      <c r="C239" t="s">
        <v>442</v>
      </c>
      <c r="D239" t="s">
        <v>302</v>
      </c>
      <c r="E239" s="2">
        <v>0</v>
      </c>
      <c r="F239" s="2">
        <v>0</v>
      </c>
      <c r="G239" s="2">
        <v>0</v>
      </c>
    </row>
    <row r="240" spans="3:7" x14ac:dyDescent="0.25">
      <c r="C240" t="s">
        <v>443</v>
      </c>
      <c r="D240" t="s">
        <v>304</v>
      </c>
      <c r="E240" s="2">
        <v>0</v>
      </c>
      <c r="F240" s="2">
        <v>0</v>
      </c>
      <c r="G240" s="2">
        <v>0</v>
      </c>
    </row>
    <row r="241" spans="3:7" x14ac:dyDescent="0.25">
      <c r="C241" t="s">
        <v>444</v>
      </c>
      <c r="D241" t="s">
        <v>306</v>
      </c>
      <c r="E241" s="2">
        <v>0</v>
      </c>
      <c r="F241" s="2">
        <v>0</v>
      </c>
      <c r="G241" s="2">
        <v>0</v>
      </c>
    </row>
    <row r="242" spans="3:7" x14ac:dyDescent="0.25">
      <c r="C242" t="s">
        <v>445</v>
      </c>
      <c r="D242" t="s">
        <v>308</v>
      </c>
      <c r="E242" s="2">
        <v>0</v>
      </c>
      <c r="F242" s="2">
        <v>0</v>
      </c>
      <c r="G242" s="2">
        <v>0</v>
      </c>
    </row>
    <row r="243" spans="3:7" x14ac:dyDescent="0.25">
      <c r="C243" t="s">
        <v>446</v>
      </c>
      <c r="D243" t="s">
        <v>310</v>
      </c>
      <c r="E243" s="2">
        <v>0</v>
      </c>
      <c r="F243" s="2">
        <v>0</v>
      </c>
      <c r="G243" s="2">
        <v>0</v>
      </c>
    </row>
    <row r="244" spans="3:7" x14ac:dyDescent="0.25">
      <c r="C244" t="s">
        <v>447</v>
      </c>
      <c r="D244" t="s">
        <v>312</v>
      </c>
      <c r="E244" s="2">
        <v>0</v>
      </c>
      <c r="F244" s="2">
        <v>0</v>
      </c>
      <c r="G244" s="2">
        <v>0</v>
      </c>
    </row>
    <row r="245" spans="3:7" x14ac:dyDescent="0.25">
      <c r="C245" t="s">
        <v>448</v>
      </c>
      <c r="D245" t="s">
        <v>314</v>
      </c>
      <c r="E245" s="2">
        <v>0</v>
      </c>
      <c r="F245" s="2">
        <v>0</v>
      </c>
      <c r="G245" s="2">
        <v>0</v>
      </c>
    </row>
    <row r="246" spans="3:7" x14ac:dyDescent="0.25">
      <c r="C246" t="s">
        <v>449</v>
      </c>
      <c r="D246" t="s">
        <v>316</v>
      </c>
      <c r="E246" s="2">
        <v>0</v>
      </c>
      <c r="F246" s="2">
        <v>0</v>
      </c>
      <c r="G246" s="2">
        <v>0</v>
      </c>
    </row>
    <row r="247" spans="3:7" x14ac:dyDescent="0.25">
      <c r="C247" t="s">
        <v>450</v>
      </c>
      <c r="D247" t="s">
        <v>318</v>
      </c>
      <c r="E247" s="2">
        <v>0</v>
      </c>
      <c r="F247" s="2">
        <v>0</v>
      </c>
      <c r="G247" s="2">
        <v>0</v>
      </c>
    </row>
    <row r="248" spans="3:7" x14ac:dyDescent="0.25">
      <c r="C248" t="s">
        <v>451</v>
      </c>
      <c r="D248" t="s">
        <v>320</v>
      </c>
      <c r="E248" s="2">
        <v>0</v>
      </c>
      <c r="F248" s="2">
        <v>0</v>
      </c>
      <c r="G248" s="2">
        <v>0</v>
      </c>
    </row>
    <row r="249" spans="3:7" x14ac:dyDescent="0.25">
      <c r="C249" t="s">
        <v>452</v>
      </c>
      <c r="D249" t="s">
        <v>322</v>
      </c>
      <c r="E249" s="2">
        <v>0</v>
      </c>
      <c r="F249" s="2">
        <v>0</v>
      </c>
      <c r="G249" s="2">
        <v>0</v>
      </c>
    </row>
    <row r="250" spans="3:7" x14ac:dyDescent="0.25">
      <c r="C250" t="s">
        <v>453</v>
      </c>
      <c r="D250" t="s">
        <v>324</v>
      </c>
      <c r="E250" s="2">
        <v>0</v>
      </c>
      <c r="F250" s="2">
        <v>0</v>
      </c>
      <c r="G250" s="2">
        <v>0</v>
      </c>
    </row>
    <row r="251" spans="3:7" x14ac:dyDescent="0.25">
      <c r="C251" t="s">
        <v>454</v>
      </c>
      <c r="D251" t="s">
        <v>326</v>
      </c>
      <c r="E251" s="2">
        <v>0</v>
      </c>
      <c r="F251" s="2">
        <v>0</v>
      </c>
      <c r="G251" s="2">
        <v>0</v>
      </c>
    </row>
    <row r="252" spans="3:7" x14ac:dyDescent="0.25">
      <c r="C252" t="s">
        <v>455</v>
      </c>
      <c r="D252" t="s">
        <v>296</v>
      </c>
      <c r="E252" s="2">
        <v>0</v>
      </c>
      <c r="F252" s="2">
        <v>0</v>
      </c>
      <c r="G252" s="2">
        <v>0</v>
      </c>
    </row>
    <row r="253" spans="3:7" x14ac:dyDescent="0.25">
      <c r="C253" t="s">
        <v>456</v>
      </c>
      <c r="D253" t="s">
        <v>329</v>
      </c>
      <c r="E253" s="2">
        <v>0</v>
      </c>
      <c r="F253" s="2">
        <v>0</v>
      </c>
      <c r="G253" s="2">
        <v>0</v>
      </c>
    </row>
    <row r="254" spans="3:7" x14ac:dyDescent="0.25">
      <c r="C254" t="s">
        <v>457</v>
      </c>
      <c r="D254" t="s">
        <v>331</v>
      </c>
      <c r="E254" s="2">
        <v>0</v>
      </c>
      <c r="F254" s="2">
        <v>0</v>
      </c>
      <c r="G254" s="2">
        <v>0</v>
      </c>
    </row>
    <row r="255" spans="3:7" x14ac:dyDescent="0.25">
      <c r="C255" t="s">
        <v>458</v>
      </c>
      <c r="D255" t="s">
        <v>333</v>
      </c>
      <c r="E255" s="2">
        <v>0</v>
      </c>
      <c r="F255" s="2">
        <v>0</v>
      </c>
      <c r="G255" s="2">
        <v>0</v>
      </c>
    </row>
    <row r="256" spans="3:7" x14ac:dyDescent="0.25">
      <c r="C256" t="s">
        <v>459</v>
      </c>
      <c r="D256" t="s">
        <v>90</v>
      </c>
      <c r="E256" s="2">
        <v>0</v>
      </c>
      <c r="F256" s="2">
        <v>0</v>
      </c>
      <c r="G256" s="2">
        <v>0</v>
      </c>
    </row>
    <row r="257" spans="3:7" x14ac:dyDescent="0.25">
      <c r="C257" t="s">
        <v>460</v>
      </c>
      <c r="D257" t="s">
        <v>92</v>
      </c>
      <c r="E257" s="2">
        <v>0</v>
      </c>
      <c r="F257" s="2">
        <v>0</v>
      </c>
      <c r="G257" s="2">
        <v>0</v>
      </c>
    </row>
    <row r="258" spans="3:7" x14ac:dyDescent="0.25">
      <c r="C258" t="s">
        <v>461</v>
      </c>
      <c r="D258" t="s">
        <v>94</v>
      </c>
      <c r="E258" s="2">
        <v>119805</v>
      </c>
      <c r="F258" s="2">
        <v>508005</v>
      </c>
      <c r="G258" s="2">
        <v>0</v>
      </c>
    </row>
    <row r="259" spans="3:7" x14ac:dyDescent="0.25">
      <c r="C259" t="s">
        <v>462</v>
      </c>
      <c r="D259" t="s">
        <v>96</v>
      </c>
      <c r="E259" s="2">
        <v>0</v>
      </c>
      <c r="F259" s="2">
        <v>0</v>
      </c>
      <c r="G259" s="2">
        <v>0</v>
      </c>
    </row>
    <row r="260" spans="3:7" x14ac:dyDescent="0.25">
      <c r="C260" t="s">
        <v>463</v>
      </c>
      <c r="D260" t="s">
        <v>98</v>
      </c>
      <c r="E260" s="2">
        <v>0</v>
      </c>
      <c r="F260" s="2">
        <v>0</v>
      </c>
      <c r="G260" s="2">
        <v>0</v>
      </c>
    </row>
    <row r="261" spans="3:7" x14ac:dyDescent="0.25">
      <c r="C261" t="s">
        <v>464</v>
      </c>
      <c r="D261" t="s">
        <v>100</v>
      </c>
      <c r="E261" s="2">
        <v>0</v>
      </c>
      <c r="F261" s="2">
        <v>0</v>
      </c>
      <c r="G261" s="2">
        <v>0</v>
      </c>
    </row>
    <row r="262" spans="3:7" x14ac:dyDescent="0.25">
      <c r="C262" t="s">
        <v>465</v>
      </c>
      <c r="D262" t="s">
        <v>102</v>
      </c>
      <c r="E262" s="2">
        <v>16640</v>
      </c>
      <c r="F262" s="2">
        <v>82940</v>
      </c>
      <c r="G262" s="2">
        <v>0</v>
      </c>
    </row>
    <row r="263" spans="3:7" x14ac:dyDescent="0.25">
      <c r="C263" t="s">
        <v>466</v>
      </c>
      <c r="D263" t="s">
        <v>104</v>
      </c>
      <c r="E263" s="2">
        <v>0</v>
      </c>
      <c r="F263" s="2">
        <v>0</v>
      </c>
      <c r="G263" s="2">
        <v>0</v>
      </c>
    </row>
    <row r="264" spans="3:7" x14ac:dyDescent="0.25">
      <c r="C264" t="s">
        <v>467</v>
      </c>
      <c r="D264" t="s">
        <v>106</v>
      </c>
      <c r="E264" s="2">
        <v>0</v>
      </c>
      <c r="F264" s="2">
        <v>0</v>
      </c>
      <c r="G264" s="2">
        <v>0</v>
      </c>
    </row>
    <row r="265" spans="3:7" x14ac:dyDescent="0.25">
      <c r="C265" t="s">
        <v>468</v>
      </c>
      <c r="D265" t="s">
        <v>108</v>
      </c>
      <c r="E265" s="2">
        <v>0</v>
      </c>
      <c r="F265" s="2">
        <v>0</v>
      </c>
      <c r="G265" s="2">
        <v>0</v>
      </c>
    </row>
    <row r="266" spans="3:7" x14ac:dyDescent="0.25">
      <c r="C266" t="s">
        <v>469</v>
      </c>
      <c r="D266" t="s">
        <v>110</v>
      </c>
      <c r="E266" s="2">
        <v>0</v>
      </c>
      <c r="F266" s="2">
        <v>0</v>
      </c>
      <c r="G266" s="2">
        <v>0</v>
      </c>
    </row>
    <row r="267" spans="3:7" x14ac:dyDescent="0.25">
      <c r="C267" t="s">
        <v>470</v>
      </c>
      <c r="D267" t="s">
        <v>112</v>
      </c>
      <c r="E267" s="2">
        <v>0</v>
      </c>
      <c r="F267" s="2">
        <v>0</v>
      </c>
      <c r="G267" s="2">
        <v>0</v>
      </c>
    </row>
    <row r="268" spans="3:7" x14ac:dyDescent="0.25">
      <c r="C268" t="s">
        <v>471</v>
      </c>
      <c r="D268" t="s">
        <v>114</v>
      </c>
      <c r="E268" s="2">
        <v>0</v>
      </c>
      <c r="F268" s="2">
        <v>0</v>
      </c>
      <c r="G268" s="2">
        <v>0</v>
      </c>
    </row>
    <row r="269" spans="3:7" x14ac:dyDescent="0.25">
      <c r="C269" t="s">
        <v>472</v>
      </c>
      <c r="D269" t="s">
        <v>116</v>
      </c>
      <c r="E269" s="2">
        <v>0</v>
      </c>
      <c r="F269" s="2">
        <v>0</v>
      </c>
      <c r="G269" s="2">
        <v>0</v>
      </c>
    </row>
    <row r="270" spans="3:7" x14ac:dyDescent="0.25">
      <c r="C270" t="s">
        <v>473</v>
      </c>
      <c r="D270" t="s">
        <v>118</v>
      </c>
      <c r="E270" s="2">
        <v>0</v>
      </c>
      <c r="F270" s="2">
        <v>0</v>
      </c>
      <c r="G270" s="2">
        <v>0</v>
      </c>
    </row>
    <row r="271" spans="3:7" x14ac:dyDescent="0.25">
      <c r="C271" t="s">
        <v>474</v>
      </c>
      <c r="D271" t="s">
        <v>120</v>
      </c>
      <c r="E271" s="2">
        <v>0</v>
      </c>
      <c r="F271" s="2">
        <v>0</v>
      </c>
      <c r="G271" s="2">
        <v>0</v>
      </c>
    </row>
    <row r="272" spans="3:7" x14ac:dyDescent="0.25">
      <c r="C272" t="s">
        <v>475</v>
      </c>
      <c r="D272" t="s">
        <v>122</v>
      </c>
      <c r="E272" s="2">
        <v>0</v>
      </c>
      <c r="F272" s="2">
        <v>0</v>
      </c>
      <c r="G272" s="2">
        <v>0</v>
      </c>
    </row>
    <row r="273" spans="3:7" x14ac:dyDescent="0.25">
      <c r="C273" t="s">
        <v>476</v>
      </c>
      <c r="D273" t="s">
        <v>124</v>
      </c>
      <c r="E273" s="2">
        <v>0</v>
      </c>
      <c r="F273" s="2">
        <v>0</v>
      </c>
      <c r="G273" s="2">
        <v>0</v>
      </c>
    </row>
    <row r="274" spans="3:7" x14ac:dyDescent="0.25">
      <c r="C274" t="s">
        <v>477</v>
      </c>
      <c r="D274" t="s">
        <v>126</v>
      </c>
      <c r="E274" s="2">
        <v>0</v>
      </c>
      <c r="F274" s="2">
        <v>0</v>
      </c>
      <c r="G274" s="2">
        <v>0</v>
      </c>
    </row>
    <row r="275" spans="3:7" x14ac:dyDescent="0.25">
      <c r="C275" t="s">
        <v>478</v>
      </c>
      <c r="D275" t="s">
        <v>128</v>
      </c>
      <c r="E275" s="2">
        <v>-39523</v>
      </c>
      <c r="F275" s="2">
        <v>-566033.84</v>
      </c>
      <c r="G275" s="2">
        <v>0</v>
      </c>
    </row>
    <row r="276" spans="3:7" x14ac:dyDescent="0.25">
      <c r="C276" t="s">
        <v>479</v>
      </c>
      <c r="D276" t="s">
        <v>132</v>
      </c>
      <c r="E276" s="2">
        <v>0</v>
      </c>
      <c r="F276" s="2">
        <v>0</v>
      </c>
      <c r="G276" s="2">
        <v>0</v>
      </c>
    </row>
    <row r="277" spans="3:7" x14ac:dyDescent="0.25">
      <c r="C277" t="s">
        <v>480</v>
      </c>
      <c r="D277" t="s">
        <v>134</v>
      </c>
      <c r="E277" s="2">
        <v>0</v>
      </c>
      <c r="F277" s="2">
        <v>0</v>
      </c>
      <c r="G277" s="2">
        <v>0</v>
      </c>
    </row>
    <row r="278" spans="3:7" x14ac:dyDescent="0.25">
      <c r="C278" t="s">
        <v>481</v>
      </c>
      <c r="D278" t="s">
        <v>136</v>
      </c>
      <c r="E278" s="2">
        <v>0</v>
      </c>
      <c r="F278" s="2">
        <v>0</v>
      </c>
      <c r="G278" s="2">
        <v>0</v>
      </c>
    </row>
    <row r="279" spans="3:7" x14ac:dyDescent="0.25">
      <c r="C279" t="s">
        <v>482</v>
      </c>
      <c r="D279" t="s">
        <v>138</v>
      </c>
      <c r="E279" s="2">
        <v>0</v>
      </c>
      <c r="F279" s="2">
        <v>0</v>
      </c>
      <c r="G279" s="2">
        <v>0</v>
      </c>
    </row>
    <row r="280" spans="3:7" x14ac:dyDescent="0.25">
      <c r="C280" t="s">
        <v>483</v>
      </c>
      <c r="D280" t="s">
        <v>140</v>
      </c>
      <c r="E280" s="2">
        <v>0</v>
      </c>
      <c r="F280" s="2">
        <v>0</v>
      </c>
      <c r="G280" s="2">
        <v>0</v>
      </c>
    </row>
    <row r="281" spans="3:7" x14ac:dyDescent="0.25">
      <c r="C281" t="s">
        <v>484</v>
      </c>
      <c r="D281" t="s">
        <v>142</v>
      </c>
      <c r="E281" s="2">
        <v>0</v>
      </c>
      <c r="F281" s="2">
        <v>0</v>
      </c>
      <c r="G281" s="2">
        <v>0</v>
      </c>
    </row>
    <row r="282" spans="3:7" x14ac:dyDescent="0.25">
      <c r="C282" t="s">
        <v>485</v>
      </c>
      <c r="D282" t="s">
        <v>144</v>
      </c>
      <c r="E282" s="2">
        <v>0</v>
      </c>
      <c r="F282" s="2">
        <v>0</v>
      </c>
      <c r="G282" s="2">
        <v>0</v>
      </c>
    </row>
    <row r="283" spans="3:7" x14ac:dyDescent="0.25">
      <c r="C283" t="s">
        <v>486</v>
      </c>
      <c r="D283" t="s">
        <v>146</v>
      </c>
      <c r="E283" s="2">
        <v>0</v>
      </c>
      <c r="F283" s="2">
        <v>0</v>
      </c>
      <c r="G283" s="2">
        <v>0</v>
      </c>
    </row>
    <row r="284" spans="3:7" x14ac:dyDescent="0.25">
      <c r="C284" t="s">
        <v>487</v>
      </c>
      <c r="D284" t="s">
        <v>148</v>
      </c>
      <c r="E284" s="2">
        <v>0</v>
      </c>
      <c r="F284" s="2">
        <v>0</v>
      </c>
      <c r="G284" s="2">
        <v>0</v>
      </c>
    </row>
    <row r="285" spans="3:7" x14ac:dyDescent="0.25">
      <c r="C285" t="s">
        <v>488</v>
      </c>
      <c r="D285" t="s">
        <v>150</v>
      </c>
      <c r="E285" s="2">
        <v>0</v>
      </c>
      <c r="F285" s="2">
        <v>-850</v>
      </c>
      <c r="G285" s="2">
        <v>0</v>
      </c>
    </row>
    <row r="286" spans="3:7" x14ac:dyDescent="0.25">
      <c r="C286" t="s">
        <v>489</v>
      </c>
      <c r="D286" t="s">
        <v>152</v>
      </c>
      <c r="E286" s="2">
        <v>0</v>
      </c>
      <c r="F286" s="2">
        <v>0</v>
      </c>
      <c r="G286" s="2">
        <v>0</v>
      </c>
    </row>
    <row r="287" spans="3:7" x14ac:dyDescent="0.25">
      <c r="C287" t="s">
        <v>490</v>
      </c>
      <c r="D287" t="s">
        <v>154</v>
      </c>
      <c r="E287" s="2">
        <v>0</v>
      </c>
      <c r="F287" s="2">
        <v>0</v>
      </c>
      <c r="G287" s="2">
        <v>0</v>
      </c>
    </row>
    <row r="288" spans="3:7" x14ac:dyDescent="0.25">
      <c r="C288" t="s">
        <v>491</v>
      </c>
      <c r="D288" t="s">
        <v>156</v>
      </c>
      <c r="E288" s="2">
        <v>0</v>
      </c>
      <c r="F288" s="2">
        <v>0</v>
      </c>
      <c r="G288" s="2">
        <v>0</v>
      </c>
    </row>
    <row r="289" spans="3:7" x14ac:dyDescent="0.25">
      <c r="C289" t="s">
        <v>492</v>
      </c>
      <c r="D289" t="s">
        <v>158</v>
      </c>
      <c r="E289" s="2">
        <v>0</v>
      </c>
      <c r="F289" s="2">
        <v>0</v>
      </c>
      <c r="G289" s="2">
        <v>0</v>
      </c>
    </row>
    <row r="290" spans="3:7" x14ac:dyDescent="0.25">
      <c r="C290" t="s">
        <v>493</v>
      </c>
      <c r="D290" t="s">
        <v>160</v>
      </c>
      <c r="E290" s="2">
        <v>0</v>
      </c>
      <c r="F290" s="2">
        <v>0</v>
      </c>
      <c r="G290" s="2">
        <v>0</v>
      </c>
    </row>
    <row r="291" spans="3:7" x14ac:dyDescent="0.25">
      <c r="C291" t="s">
        <v>494</v>
      </c>
      <c r="D291" t="s">
        <v>162</v>
      </c>
      <c r="E291" s="2">
        <v>0</v>
      </c>
      <c r="F291" s="2">
        <v>0</v>
      </c>
      <c r="G291" s="2">
        <v>0</v>
      </c>
    </row>
    <row r="292" spans="3:7" x14ac:dyDescent="0.25">
      <c r="C292" t="s">
        <v>495</v>
      </c>
      <c r="D292" t="s">
        <v>164</v>
      </c>
      <c r="E292" s="2">
        <v>0</v>
      </c>
      <c r="F292" s="2">
        <v>0</v>
      </c>
      <c r="G292" s="2">
        <v>0</v>
      </c>
    </row>
    <row r="293" spans="3:7" x14ac:dyDescent="0.25">
      <c r="C293" t="s">
        <v>496</v>
      </c>
      <c r="D293" t="s">
        <v>166</v>
      </c>
      <c r="E293" s="2">
        <v>0</v>
      </c>
      <c r="F293" s="2">
        <v>0</v>
      </c>
      <c r="G293" s="2">
        <v>0</v>
      </c>
    </row>
    <row r="294" spans="3:7" x14ac:dyDescent="0.25">
      <c r="C294" t="s">
        <v>497</v>
      </c>
      <c r="D294" t="s">
        <v>168</v>
      </c>
      <c r="E294" s="2">
        <v>0</v>
      </c>
      <c r="F294" s="2">
        <v>0</v>
      </c>
      <c r="G294" s="2">
        <v>0</v>
      </c>
    </row>
    <row r="295" spans="3:7" x14ac:dyDescent="0.25">
      <c r="C295" t="s">
        <v>498</v>
      </c>
      <c r="D295" t="s">
        <v>170</v>
      </c>
      <c r="E295" s="2">
        <v>0</v>
      </c>
      <c r="F295" s="2">
        <v>0</v>
      </c>
      <c r="G295" s="2">
        <v>0</v>
      </c>
    </row>
    <row r="296" spans="3:7" x14ac:dyDescent="0.25">
      <c r="C296" t="s">
        <v>499</v>
      </c>
      <c r="D296" t="s">
        <v>172</v>
      </c>
      <c r="E296" s="2">
        <v>0</v>
      </c>
      <c r="F296" s="2">
        <v>0</v>
      </c>
      <c r="G296" s="2">
        <v>0</v>
      </c>
    </row>
    <row r="297" spans="3:7" x14ac:dyDescent="0.25">
      <c r="C297" t="s">
        <v>500</v>
      </c>
      <c r="D297" t="s">
        <v>174</v>
      </c>
      <c r="E297" s="2">
        <v>0</v>
      </c>
      <c r="F297" s="2">
        <v>0</v>
      </c>
      <c r="G297" s="2">
        <v>0</v>
      </c>
    </row>
    <row r="298" spans="3:7" x14ac:dyDescent="0.25">
      <c r="C298" t="s">
        <v>501</v>
      </c>
      <c r="D298" t="s">
        <v>176</v>
      </c>
      <c r="E298" s="2">
        <v>0</v>
      </c>
      <c r="F298" s="2">
        <v>0</v>
      </c>
      <c r="G298" s="2">
        <v>0</v>
      </c>
    </row>
    <row r="299" spans="3:7" x14ac:dyDescent="0.25">
      <c r="C299" t="s">
        <v>502</v>
      </c>
      <c r="D299" t="s">
        <v>178</v>
      </c>
      <c r="E299" s="2">
        <v>0</v>
      </c>
      <c r="F299" s="2">
        <v>0</v>
      </c>
      <c r="G299" s="2">
        <v>0</v>
      </c>
    </row>
    <row r="300" spans="3:7" x14ac:dyDescent="0.25">
      <c r="C300" t="s">
        <v>503</v>
      </c>
      <c r="D300" t="s">
        <v>180</v>
      </c>
      <c r="E300" s="2">
        <v>0</v>
      </c>
      <c r="F300" s="2">
        <v>0</v>
      </c>
      <c r="G300" s="2">
        <v>0</v>
      </c>
    </row>
    <row r="301" spans="3:7" x14ac:dyDescent="0.25">
      <c r="C301" t="s">
        <v>504</v>
      </c>
      <c r="D301" t="s">
        <v>182</v>
      </c>
      <c r="E301" s="2">
        <v>0</v>
      </c>
      <c r="F301" s="2">
        <v>0</v>
      </c>
      <c r="G301" s="2">
        <v>0</v>
      </c>
    </row>
    <row r="302" spans="3:7" x14ac:dyDescent="0.25">
      <c r="C302" t="s">
        <v>505</v>
      </c>
      <c r="D302" t="s">
        <v>184</v>
      </c>
      <c r="E302" s="2">
        <v>0</v>
      </c>
      <c r="F302" s="2">
        <v>0</v>
      </c>
      <c r="G302" s="2">
        <v>0</v>
      </c>
    </row>
    <row r="303" spans="3:7" x14ac:dyDescent="0.25">
      <c r="C303" t="s">
        <v>506</v>
      </c>
      <c r="D303" t="s">
        <v>186</v>
      </c>
      <c r="E303" s="2">
        <v>0</v>
      </c>
      <c r="F303" s="2">
        <v>0</v>
      </c>
      <c r="G303" s="2">
        <v>0</v>
      </c>
    </row>
    <row r="304" spans="3:7" x14ac:dyDescent="0.25">
      <c r="C304" t="s">
        <v>507</v>
      </c>
      <c r="D304" t="s">
        <v>188</v>
      </c>
      <c r="E304" s="2">
        <v>0</v>
      </c>
      <c r="F304" s="2">
        <v>0</v>
      </c>
      <c r="G304" s="2">
        <v>0</v>
      </c>
    </row>
    <row r="305" spans="3:7" x14ac:dyDescent="0.25">
      <c r="C305" t="s">
        <v>508</v>
      </c>
      <c r="D305" t="s">
        <v>190</v>
      </c>
      <c r="E305" s="2">
        <v>0</v>
      </c>
      <c r="F305" s="2">
        <v>0</v>
      </c>
      <c r="G305" s="2">
        <v>0</v>
      </c>
    </row>
    <row r="306" spans="3:7" x14ac:dyDescent="0.25">
      <c r="C306" t="s">
        <v>509</v>
      </c>
      <c r="D306" t="s">
        <v>192</v>
      </c>
      <c r="E306" s="2">
        <v>0</v>
      </c>
      <c r="F306" s="2">
        <v>0</v>
      </c>
      <c r="G306" s="2">
        <v>0</v>
      </c>
    </row>
    <row r="307" spans="3:7" x14ac:dyDescent="0.25">
      <c r="C307" t="s">
        <v>510</v>
      </c>
      <c r="D307" t="s">
        <v>194</v>
      </c>
      <c r="E307" s="2">
        <v>0</v>
      </c>
      <c r="F307" s="2">
        <v>0</v>
      </c>
      <c r="G307" s="2">
        <v>0</v>
      </c>
    </row>
    <row r="308" spans="3:7" x14ac:dyDescent="0.25">
      <c r="C308" t="s">
        <v>511</v>
      </c>
      <c r="D308" t="s">
        <v>196</v>
      </c>
      <c r="E308" s="2">
        <v>0</v>
      </c>
      <c r="F308" s="2">
        <v>0</v>
      </c>
      <c r="G308" s="2">
        <v>0</v>
      </c>
    </row>
    <row r="309" spans="3:7" x14ac:dyDescent="0.25">
      <c r="C309" t="s">
        <v>512</v>
      </c>
      <c r="D309" t="s">
        <v>198</v>
      </c>
      <c r="E309" s="2">
        <v>0</v>
      </c>
      <c r="F309" s="2">
        <v>0</v>
      </c>
      <c r="G309" s="2">
        <v>0</v>
      </c>
    </row>
    <row r="310" spans="3:7" x14ac:dyDescent="0.25">
      <c r="C310" t="s">
        <v>513</v>
      </c>
      <c r="D310" t="s">
        <v>200</v>
      </c>
      <c r="E310" s="2">
        <v>0</v>
      </c>
      <c r="F310" s="2">
        <v>0</v>
      </c>
      <c r="G310" s="2">
        <v>0</v>
      </c>
    </row>
    <row r="311" spans="3:7" x14ac:dyDescent="0.25">
      <c r="C311" t="s">
        <v>514</v>
      </c>
      <c r="D311" t="s">
        <v>202</v>
      </c>
      <c r="E311" s="2">
        <v>0</v>
      </c>
      <c r="F311" s="2">
        <v>0</v>
      </c>
      <c r="G311" s="2">
        <v>0</v>
      </c>
    </row>
    <row r="312" spans="3:7" x14ac:dyDescent="0.25">
      <c r="C312" t="s">
        <v>515</v>
      </c>
      <c r="D312" t="s">
        <v>204</v>
      </c>
      <c r="E312" s="2">
        <v>0</v>
      </c>
      <c r="F312" s="2">
        <v>0</v>
      </c>
      <c r="G312" s="2">
        <v>0</v>
      </c>
    </row>
    <row r="313" spans="3:7" x14ac:dyDescent="0.25">
      <c r="C313" t="s">
        <v>516</v>
      </c>
      <c r="D313" t="s">
        <v>206</v>
      </c>
      <c r="E313" s="2">
        <v>0</v>
      </c>
      <c r="F313" s="2">
        <v>0</v>
      </c>
      <c r="G313" s="2">
        <v>0</v>
      </c>
    </row>
    <row r="314" spans="3:7" x14ac:dyDescent="0.25">
      <c r="C314" t="s">
        <v>517</v>
      </c>
      <c r="D314" t="s">
        <v>208</v>
      </c>
      <c r="E314" s="2">
        <v>0</v>
      </c>
      <c r="F314" s="2">
        <v>0</v>
      </c>
      <c r="G314" s="2">
        <v>0</v>
      </c>
    </row>
    <row r="315" spans="3:7" x14ac:dyDescent="0.25">
      <c r="C315" t="s">
        <v>518</v>
      </c>
      <c r="D315" t="s">
        <v>210</v>
      </c>
      <c r="E315" s="2">
        <v>0</v>
      </c>
      <c r="F315" s="2">
        <v>0</v>
      </c>
      <c r="G315" s="2">
        <v>0</v>
      </c>
    </row>
    <row r="316" spans="3:7" x14ac:dyDescent="0.25">
      <c r="C316" t="s">
        <v>519</v>
      </c>
      <c r="D316" t="s">
        <v>212</v>
      </c>
      <c r="E316" s="2">
        <v>0</v>
      </c>
      <c r="F316" s="2">
        <v>0</v>
      </c>
      <c r="G316" s="2">
        <v>0</v>
      </c>
    </row>
    <row r="317" spans="3:7" x14ac:dyDescent="0.25">
      <c r="C317" t="s">
        <v>520</v>
      </c>
      <c r="D317" t="s">
        <v>214</v>
      </c>
      <c r="E317" s="2">
        <v>0</v>
      </c>
      <c r="F317" s="2">
        <v>0</v>
      </c>
      <c r="G317" s="2">
        <v>0</v>
      </c>
    </row>
    <row r="318" spans="3:7" x14ac:dyDescent="0.25">
      <c r="C318" t="s">
        <v>521</v>
      </c>
      <c r="D318" t="s">
        <v>215</v>
      </c>
      <c r="E318" s="2">
        <v>-136445</v>
      </c>
      <c r="F318" s="2">
        <v>-590945</v>
      </c>
      <c r="G318" s="2">
        <v>0</v>
      </c>
    </row>
    <row r="319" spans="3:7" x14ac:dyDescent="0.25">
      <c r="C319" t="s">
        <v>522</v>
      </c>
      <c r="D319" t="s">
        <v>217</v>
      </c>
      <c r="E319" s="2">
        <v>0</v>
      </c>
      <c r="F319" s="2">
        <v>0</v>
      </c>
      <c r="G319" s="2">
        <v>0</v>
      </c>
    </row>
    <row r="320" spans="3:7" x14ac:dyDescent="0.25">
      <c r="C320" t="s">
        <v>523</v>
      </c>
      <c r="D320" t="s">
        <v>219</v>
      </c>
      <c r="E320" s="2">
        <v>0</v>
      </c>
      <c r="F320" s="2">
        <v>0</v>
      </c>
      <c r="G320" s="2">
        <v>0</v>
      </c>
    </row>
    <row r="321" spans="3:7" x14ac:dyDescent="0.25">
      <c r="C321" t="s">
        <v>524</v>
      </c>
      <c r="D321" t="s">
        <v>221</v>
      </c>
      <c r="E321" s="2">
        <v>0</v>
      </c>
      <c r="F321" s="2">
        <v>0</v>
      </c>
      <c r="G321" s="2">
        <v>0</v>
      </c>
    </row>
    <row r="322" spans="3:7" x14ac:dyDescent="0.25">
      <c r="C322" t="s">
        <v>525</v>
      </c>
      <c r="D322" t="s">
        <v>223</v>
      </c>
      <c r="E322" s="2">
        <v>0</v>
      </c>
      <c r="F322" s="2">
        <v>0</v>
      </c>
      <c r="G322" s="2">
        <v>0</v>
      </c>
    </row>
    <row r="323" spans="3:7" x14ac:dyDescent="0.25">
      <c r="C323" t="s">
        <v>526</v>
      </c>
      <c r="D323" t="s">
        <v>225</v>
      </c>
      <c r="E323" s="2">
        <v>0</v>
      </c>
      <c r="F323" s="2">
        <v>0</v>
      </c>
      <c r="G323" s="2">
        <v>0</v>
      </c>
    </row>
    <row r="324" spans="3:7" x14ac:dyDescent="0.25">
      <c r="C324" t="s">
        <v>527</v>
      </c>
      <c r="D324" t="s">
        <v>227</v>
      </c>
      <c r="E324" s="2">
        <v>0</v>
      </c>
      <c r="F324" s="2">
        <v>0</v>
      </c>
      <c r="G324" s="2">
        <v>0</v>
      </c>
    </row>
    <row r="325" spans="3:7" x14ac:dyDescent="0.25">
      <c r="C325" t="s">
        <v>528</v>
      </c>
      <c r="D325" t="s">
        <v>229</v>
      </c>
      <c r="E325" s="2">
        <v>0</v>
      </c>
      <c r="F325" s="2">
        <v>0</v>
      </c>
      <c r="G325" s="2">
        <v>0</v>
      </c>
    </row>
    <row r="326" spans="3:7" x14ac:dyDescent="0.25">
      <c r="C326" t="s">
        <v>529</v>
      </c>
      <c r="D326" t="s">
        <v>231</v>
      </c>
      <c r="E326" s="2">
        <v>0</v>
      </c>
      <c r="F326" s="2">
        <v>0</v>
      </c>
      <c r="G326" s="2">
        <v>0</v>
      </c>
    </row>
    <row r="327" spans="3:7" x14ac:dyDescent="0.25">
      <c r="C327" t="s">
        <v>530</v>
      </c>
      <c r="D327" t="s">
        <v>233</v>
      </c>
      <c r="E327" s="2">
        <v>0</v>
      </c>
      <c r="F327" s="2">
        <v>0</v>
      </c>
      <c r="G327" s="2">
        <v>0</v>
      </c>
    </row>
    <row r="328" spans="3:7" x14ac:dyDescent="0.25">
      <c r="C328" t="s">
        <v>531</v>
      </c>
      <c r="D328" t="s">
        <v>235</v>
      </c>
      <c r="E328" s="2">
        <v>0</v>
      </c>
      <c r="F328" s="2">
        <v>0</v>
      </c>
      <c r="G328" s="2">
        <v>0</v>
      </c>
    </row>
    <row r="329" spans="3:7" x14ac:dyDescent="0.25">
      <c r="C329" t="s">
        <v>532</v>
      </c>
      <c r="D329" t="s">
        <v>237</v>
      </c>
      <c r="E329" s="2">
        <v>0</v>
      </c>
      <c r="F329" s="2">
        <v>0</v>
      </c>
      <c r="G329" s="2">
        <v>0</v>
      </c>
    </row>
    <row r="330" spans="3:7" x14ac:dyDescent="0.25">
      <c r="C330" t="s">
        <v>533</v>
      </c>
      <c r="D330" t="s">
        <v>239</v>
      </c>
      <c r="E330" s="2">
        <v>0</v>
      </c>
      <c r="F330" s="2">
        <v>0</v>
      </c>
      <c r="G330" s="2">
        <v>0</v>
      </c>
    </row>
    <row r="331" spans="3:7" x14ac:dyDescent="0.25">
      <c r="C331" t="s">
        <v>534</v>
      </c>
      <c r="D331" t="s">
        <v>241</v>
      </c>
      <c r="E331" s="2">
        <v>0</v>
      </c>
      <c r="F331" s="2">
        <v>0</v>
      </c>
      <c r="G331" s="2">
        <v>0</v>
      </c>
    </row>
    <row r="332" spans="3:7" x14ac:dyDescent="0.25">
      <c r="C332" t="s">
        <v>535</v>
      </c>
      <c r="D332" t="s">
        <v>243</v>
      </c>
      <c r="E332" s="2">
        <v>0</v>
      </c>
      <c r="F332" s="2">
        <v>0</v>
      </c>
      <c r="G332" s="2">
        <v>0</v>
      </c>
    </row>
    <row r="333" spans="3:7" x14ac:dyDescent="0.25">
      <c r="C333" t="s">
        <v>536</v>
      </c>
      <c r="D333" t="s">
        <v>245</v>
      </c>
      <c r="E333" s="2">
        <v>0</v>
      </c>
      <c r="F333" s="2">
        <v>0</v>
      </c>
      <c r="G333" s="2">
        <v>0</v>
      </c>
    </row>
    <row r="334" spans="3:7" x14ac:dyDescent="0.25">
      <c r="C334" t="s">
        <v>537</v>
      </c>
      <c r="D334" t="s">
        <v>247</v>
      </c>
      <c r="E334" s="2">
        <v>39523</v>
      </c>
      <c r="F334" s="2">
        <v>566883.83999999997</v>
      </c>
      <c r="G334" s="2">
        <v>0</v>
      </c>
    </row>
    <row r="335" spans="3:7" x14ac:dyDescent="0.25">
      <c r="C335" t="s">
        <v>538</v>
      </c>
      <c r="D335" t="s">
        <v>249</v>
      </c>
      <c r="E335" s="2">
        <v>0</v>
      </c>
      <c r="F335" s="2">
        <v>0</v>
      </c>
      <c r="G335" s="2">
        <v>0</v>
      </c>
    </row>
    <row r="336" spans="3:7" x14ac:dyDescent="0.25">
      <c r="C336" t="s">
        <v>539</v>
      </c>
      <c r="D336" t="s">
        <v>251</v>
      </c>
      <c r="E336" s="2">
        <v>0</v>
      </c>
      <c r="F336" s="2">
        <v>0</v>
      </c>
      <c r="G336" s="2">
        <v>0</v>
      </c>
    </row>
    <row r="337" spans="3:7" x14ac:dyDescent="0.25">
      <c r="C337" t="s">
        <v>540</v>
      </c>
      <c r="D337" t="s">
        <v>253</v>
      </c>
      <c r="E337" s="2">
        <v>0</v>
      </c>
      <c r="F337" s="2">
        <v>0</v>
      </c>
      <c r="G337" s="2">
        <v>0</v>
      </c>
    </row>
    <row r="338" spans="3:7" x14ac:dyDescent="0.25">
      <c r="C338" t="s">
        <v>541</v>
      </c>
      <c r="D338" t="s">
        <v>255</v>
      </c>
      <c r="E338" s="2">
        <v>0</v>
      </c>
      <c r="F338" s="2">
        <v>0</v>
      </c>
      <c r="G338" s="2">
        <v>0</v>
      </c>
    </row>
    <row r="339" spans="3:7" x14ac:dyDescent="0.25">
      <c r="C339" t="s">
        <v>542</v>
      </c>
      <c r="D339" t="s">
        <v>257</v>
      </c>
      <c r="E339" s="2">
        <v>0</v>
      </c>
      <c r="F339" s="2">
        <v>0</v>
      </c>
      <c r="G339" s="2">
        <v>0</v>
      </c>
    </row>
    <row r="340" spans="3:7" x14ac:dyDescent="0.25">
      <c r="C340" t="s">
        <v>543</v>
      </c>
      <c r="D340" t="s">
        <v>259</v>
      </c>
      <c r="E340" s="2">
        <v>0</v>
      </c>
      <c r="F340" s="2">
        <v>0</v>
      </c>
      <c r="G340" s="2">
        <v>0</v>
      </c>
    </row>
    <row r="341" spans="3:7" x14ac:dyDescent="0.25">
      <c r="C341" t="s">
        <v>544</v>
      </c>
      <c r="D341" t="s">
        <v>261</v>
      </c>
      <c r="E341" s="2">
        <v>0</v>
      </c>
      <c r="F341" s="2">
        <v>0</v>
      </c>
      <c r="G341" s="2">
        <v>0</v>
      </c>
    </row>
    <row r="342" spans="3:7" x14ac:dyDescent="0.25">
      <c r="C342" t="s">
        <v>545</v>
      </c>
      <c r="D342" t="s">
        <v>263</v>
      </c>
      <c r="E342" s="2">
        <v>0</v>
      </c>
      <c r="F342" s="2">
        <v>0</v>
      </c>
      <c r="G342" s="2">
        <v>0</v>
      </c>
    </row>
    <row r="343" spans="3:7" x14ac:dyDescent="0.25">
      <c r="C343" t="s">
        <v>546</v>
      </c>
      <c r="D343" t="s">
        <v>265</v>
      </c>
      <c r="E343" s="2">
        <v>0</v>
      </c>
      <c r="F343" s="2">
        <v>0</v>
      </c>
      <c r="G343" s="2">
        <v>0</v>
      </c>
    </row>
    <row r="344" spans="3:7" x14ac:dyDescent="0.25">
      <c r="C344" t="s">
        <v>547</v>
      </c>
      <c r="D344" t="s">
        <v>267</v>
      </c>
      <c r="E344" s="2">
        <v>0</v>
      </c>
      <c r="F344" s="2">
        <v>0</v>
      </c>
      <c r="G344" s="2">
        <v>0</v>
      </c>
    </row>
    <row r="345" spans="3:7" x14ac:dyDescent="0.25">
      <c r="C345" t="s">
        <v>548</v>
      </c>
      <c r="D345" t="s">
        <v>269</v>
      </c>
      <c r="E345" s="2">
        <v>0</v>
      </c>
      <c r="F345" s="2">
        <v>0</v>
      </c>
      <c r="G345" s="2">
        <v>0</v>
      </c>
    </row>
    <row r="346" spans="3:7" x14ac:dyDescent="0.25">
      <c r="C346" t="s">
        <v>549</v>
      </c>
      <c r="D346" t="s">
        <v>271</v>
      </c>
      <c r="E346" s="2">
        <v>0</v>
      </c>
      <c r="F346" s="2">
        <v>0</v>
      </c>
      <c r="G346" s="2">
        <v>0</v>
      </c>
    </row>
    <row r="347" spans="3:7" x14ac:dyDescent="0.25">
      <c r="C347" t="s">
        <v>550</v>
      </c>
      <c r="D347" t="s">
        <v>273</v>
      </c>
      <c r="E347" s="2">
        <v>0</v>
      </c>
      <c r="F347" s="2">
        <v>0</v>
      </c>
      <c r="G347" s="2">
        <v>0</v>
      </c>
    </row>
    <row r="348" spans="3:7" x14ac:dyDescent="0.25">
      <c r="C348" t="s">
        <v>551</v>
      </c>
      <c r="D348" t="s">
        <v>275</v>
      </c>
      <c r="E348" s="2">
        <v>0</v>
      </c>
      <c r="F348" s="2">
        <v>0</v>
      </c>
      <c r="G348" s="2">
        <v>0</v>
      </c>
    </row>
    <row r="349" spans="3:7" x14ac:dyDescent="0.25">
      <c r="C349" t="s">
        <v>552</v>
      </c>
      <c r="D349" t="s">
        <v>277</v>
      </c>
      <c r="E349" s="2">
        <v>0</v>
      </c>
      <c r="F349" s="2">
        <v>0</v>
      </c>
      <c r="G349" s="2">
        <v>0</v>
      </c>
    </row>
    <row r="350" spans="3:7" x14ac:dyDescent="0.25">
      <c r="C350" t="s">
        <v>553</v>
      </c>
      <c r="D350" t="s">
        <v>279</v>
      </c>
      <c r="E350" s="2">
        <v>0</v>
      </c>
      <c r="F350" s="2">
        <v>0</v>
      </c>
      <c r="G350" s="2">
        <v>0</v>
      </c>
    </row>
    <row r="351" spans="3:7" x14ac:dyDescent="0.25">
      <c r="C351" t="s">
        <v>554</v>
      </c>
      <c r="D351" t="s">
        <v>281</v>
      </c>
      <c r="E351" s="2">
        <v>0</v>
      </c>
      <c r="F351" s="2">
        <v>0</v>
      </c>
      <c r="G351" s="2">
        <v>0</v>
      </c>
    </row>
    <row r="352" spans="3:7" x14ac:dyDescent="0.25">
      <c r="C352" t="s">
        <v>555</v>
      </c>
      <c r="D352" t="s">
        <v>283</v>
      </c>
      <c r="E352" s="2">
        <v>0</v>
      </c>
      <c r="F352" s="2">
        <v>0</v>
      </c>
      <c r="G352" s="2">
        <v>0</v>
      </c>
    </row>
    <row r="353" spans="3:7" x14ac:dyDescent="0.25">
      <c r="C353" t="s">
        <v>556</v>
      </c>
      <c r="D353" t="s">
        <v>285</v>
      </c>
      <c r="E353" s="2">
        <v>0</v>
      </c>
      <c r="F353" s="2">
        <v>0</v>
      </c>
      <c r="G353" s="2">
        <v>0</v>
      </c>
    </row>
    <row r="354" spans="3:7" x14ac:dyDescent="0.25">
      <c r="C354" t="s">
        <v>557</v>
      </c>
      <c r="D354" t="s">
        <v>287</v>
      </c>
      <c r="E354" s="2">
        <v>0</v>
      </c>
      <c r="F354" s="2">
        <v>0</v>
      </c>
      <c r="G354" s="2">
        <v>0</v>
      </c>
    </row>
    <row r="355" spans="3:7" x14ac:dyDescent="0.25">
      <c r="C355" t="s">
        <v>558</v>
      </c>
      <c r="D355" t="s">
        <v>289</v>
      </c>
      <c r="E355" s="2">
        <v>0</v>
      </c>
      <c r="F355" s="2">
        <v>0</v>
      </c>
      <c r="G355" s="2">
        <v>0</v>
      </c>
    </row>
    <row r="356" spans="3:7" x14ac:dyDescent="0.25">
      <c r="C356" t="s">
        <v>559</v>
      </c>
      <c r="D356" t="s">
        <v>291</v>
      </c>
      <c r="E356" s="2">
        <v>0</v>
      </c>
      <c r="F356" s="2">
        <v>0</v>
      </c>
      <c r="G356" s="2">
        <v>0</v>
      </c>
    </row>
    <row r="357" spans="3:7" x14ac:dyDescent="0.25">
      <c r="C357" t="s">
        <v>560</v>
      </c>
      <c r="D357" t="s">
        <v>293</v>
      </c>
      <c r="E357" s="2">
        <v>0</v>
      </c>
      <c r="F357" s="2">
        <v>0</v>
      </c>
      <c r="G357" s="2">
        <v>0</v>
      </c>
    </row>
    <row r="358" spans="3:7" x14ac:dyDescent="0.25">
      <c r="C358" t="s">
        <v>561</v>
      </c>
      <c r="D358" t="s">
        <v>17</v>
      </c>
      <c r="E358" s="2">
        <v>0</v>
      </c>
      <c r="F358" s="2">
        <v>0</v>
      </c>
      <c r="G358" s="2">
        <v>0</v>
      </c>
    </row>
    <row r="359" spans="3:7" x14ac:dyDescent="0.25">
      <c r="C359" t="s">
        <v>562</v>
      </c>
      <c r="D359" t="s">
        <v>296</v>
      </c>
      <c r="E359" s="2">
        <v>0</v>
      </c>
      <c r="F359" s="2">
        <v>0</v>
      </c>
      <c r="G359" s="2">
        <v>0</v>
      </c>
    </row>
    <row r="360" spans="3:7" x14ac:dyDescent="0.25">
      <c r="C360" t="s">
        <v>563</v>
      </c>
      <c r="D360" t="s">
        <v>298</v>
      </c>
      <c r="E360" s="2">
        <v>0</v>
      </c>
      <c r="F360" s="2">
        <v>0</v>
      </c>
      <c r="G360" s="2">
        <v>0</v>
      </c>
    </row>
    <row r="361" spans="3:7" x14ac:dyDescent="0.25">
      <c r="C361" t="s">
        <v>564</v>
      </c>
      <c r="D361" t="s">
        <v>300</v>
      </c>
      <c r="E361" s="2">
        <v>0</v>
      </c>
      <c r="F361" s="2">
        <v>0</v>
      </c>
      <c r="G361" s="2">
        <v>0</v>
      </c>
    </row>
    <row r="362" spans="3:7" x14ac:dyDescent="0.25">
      <c r="C362" t="s">
        <v>565</v>
      </c>
      <c r="D362" t="s">
        <v>302</v>
      </c>
      <c r="E362" s="2">
        <v>0</v>
      </c>
      <c r="F362" s="2">
        <v>0</v>
      </c>
      <c r="G362" s="2">
        <v>0</v>
      </c>
    </row>
    <row r="363" spans="3:7" x14ac:dyDescent="0.25">
      <c r="C363" t="s">
        <v>566</v>
      </c>
      <c r="D363" t="s">
        <v>304</v>
      </c>
      <c r="E363" s="2">
        <v>0</v>
      </c>
      <c r="F363" s="2">
        <v>0</v>
      </c>
      <c r="G363" s="2">
        <v>0</v>
      </c>
    </row>
    <row r="364" spans="3:7" x14ac:dyDescent="0.25">
      <c r="C364" t="s">
        <v>567</v>
      </c>
      <c r="D364" t="s">
        <v>306</v>
      </c>
      <c r="E364" s="2">
        <v>0</v>
      </c>
      <c r="F364" s="2">
        <v>0</v>
      </c>
      <c r="G364" s="2">
        <v>0</v>
      </c>
    </row>
    <row r="365" spans="3:7" x14ac:dyDescent="0.25">
      <c r="C365" t="s">
        <v>568</v>
      </c>
      <c r="D365" t="s">
        <v>308</v>
      </c>
      <c r="E365" s="2">
        <v>0</v>
      </c>
      <c r="F365" s="2">
        <v>0</v>
      </c>
      <c r="G365" s="2">
        <v>0</v>
      </c>
    </row>
    <row r="366" spans="3:7" x14ac:dyDescent="0.25">
      <c r="C366" t="s">
        <v>569</v>
      </c>
      <c r="D366" t="s">
        <v>310</v>
      </c>
      <c r="E366" s="2">
        <v>0</v>
      </c>
      <c r="F366" s="2">
        <v>0</v>
      </c>
      <c r="G366" s="2">
        <v>0</v>
      </c>
    </row>
    <row r="367" spans="3:7" x14ac:dyDescent="0.25">
      <c r="C367" t="s">
        <v>570</v>
      </c>
      <c r="D367" t="s">
        <v>312</v>
      </c>
      <c r="E367" s="2">
        <v>0</v>
      </c>
      <c r="F367" s="2">
        <v>0</v>
      </c>
      <c r="G367" s="2">
        <v>0</v>
      </c>
    </row>
    <row r="368" spans="3:7" x14ac:dyDescent="0.25">
      <c r="C368" t="s">
        <v>571</v>
      </c>
      <c r="D368" t="s">
        <v>314</v>
      </c>
      <c r="E368" s="2">
        <v>0</v>
      </c>
      <c r="F368" s="2">
        <v>0</v>
      </c>
      <c r="G368" s="2">
        <v>0</v>
      </c>
    </row>
    <row r="369" spans="3:7" x14ac:dyDescent="0.25">
      <c r="C369" t="s">
        <v>572</v>
      </c>
      <c r="D369" t="s">
        <v>316</v>
      </c>
      <c r="E369" s="2">
        <v>0</v>
      </c>
      <c r="F369" s="2">
        <v>0</v>
      </c>
      <c r="G369" s="2">
        <v>0</v>
      </c>
    </row>
    <row r="370" spans="3:7" x14ac:dyDescent="0.25">
      <c r="C370" t="s">
        <v>573</v>
      </c>
      <c r="D370" t="s">
        <v>318</v>
      </c>
      <c r="E370" s="2">
        <v>0</v>
      </c>
      <c r="F370" s="2">
        <v>0</v>
      </c>
      <c r="G370" s="2">
        <v>0</v>
      </c>
    </row>
    <row r="371" spans="3:7" x14ac:dyDescent="0.25">
      <c r="C371" t="s">
        <v>574</v>
      </c>
      <c r="D371" t="s">
        <v>320</v>
      </c>
      <c r="E371" s="2">
        <v>0</v>
      </c>
      <c r="F371" s="2">
        <v>0</v>
      </c>
      <c r="G371" s="2">
        <v>0</v>
      </c>
    </row>
    <row r="372" spans="3:7" x14ac:dyDescent="0.25">
      <c r="C372" t="s">
        <v>575</v>
      </c>
      <c r="D372" t="s">
        <v>322</v>
      </c>
      <c r="E372" s="2">
        <v>0</v>
      </c>
      <c r="F372" s="2">
        <v>0</v>
      </c>
      <c r="G372" s="2">
        <v>0</v>
      </c>
    </row>
    <row r="373" spans="3:7" x14ac:dyDescent="0.25">
      <c r="C373" t="s">
        <v>576</v>
      </c>
      <c r="D373" t="s">
        <v>324</v>
      </c>
      <c r="E373" s="2">
        <v>0</v>
      </c>
      <c r="F373" s="2">
        <v>0</v>
      </c>
      <c r="G373" s="2">
        <v>0</v>
      </c>
    </row>
    <row r="374" spans="3:7" x14ac:dyDescent="0.25">
      <c r="C374" t="s">
        <v>577</v>
      </c>
      <c r="D374" t="s">
        <v>326</v>
      </c>
      <c r="E374" s="2">
        <v>0</v>
      </c>
      <c r="F374" s="2">
        <v>0</v>
      </c>
      <c r="G374" s="2">
        <v>0</v>
      </c>
    </row>
    <row r="375" spans="3:7" x14ac:dyDescent="0.25">
      <c r="C375" t="s">
        <v>578</v>
      </c>
      <c r="D375" t="s">
        <v>296</v>
      </c>
      <c r="E375" s="2">
        <v>0</v>
      </c>
      <c r="F375" s="2">
        <v>0</v>
      </c>
      <c r="G375" s="2">
        <v>0</v>
      </c>
    </row>
    <row r="376" spans="3:7" x14ac:dyDescent="0.25">
      <c r="C376" t="s">
        <v>579</v>
      </c>
      <c r="D376" t="s">
        <v>329</v>
      </c>
      <c r="E376" s="2">
        <v>0</v>
      </c>
      <c r="F376" s="2">
        <v>0</v>
      </c>
      <c r="G376" s="2">
        <v>0</v>
      </c>
    </row>
    <row r="377" spans="3:7" x14ac:dyDescent="0.25">
      <c r="C377" t="s">
        <v>580</v>
      </c>
      <c r="D377" t="s">
        <v>331</v>
      </c>
      <c r="E377" s="2">
        <v>0</v>
      </c>
      <c r="F377" s="2">
        <v>0</v>
      </c>
      <c r="G377" s="2">
        <v>0</v>
      </c>
    </row>
    <row r="378" spans="3:7" x14ac:dyDescent="0.25">
      <c r="C378" t="s">
        <v>581</v>
      </c>
      <c r="D378" t="s">
        <v>333</v>
      </c>
      <c r="E378" s="2">
        <v>0</v>
      </c>
      <c r="F378" s="2">
        <v>0</v>
      </c>
      <c r="G378" s="2">
        <v>0</v>
      </c>
    </row>
    <row r="379" spans="3:7" x14ac:dyDescent="0.25">
      <c r="C379" t="s">
        <v>582</v>
      </c>
      <c r="D379" t="s">
        <v>108</v>
      </c>
      <c r="E379" s="2">
        <v>0</v>
      </c>
      <c r="F379" s="2">
        <v>0</v>
      </c>
      <c r="G379" s="2">
        <v>0</v>
      </c>
    </row>
    <row r="380" spans="3:7" x14ac:dyDescent="0.25">
      <c r="C380" t="s">
        <v>583</v>
      </c>
      <c r="D380" t="s">
        <v>110</v>
      </c>
      <c r="E380" s="2">
        <v>0</v>
      </c>
      <c r="F380" s="2">
        <v>0</v>
      </c>
      <c r="G380" s="2">
        <v>0</v>
      </c>
    </row>
    <row r="381" spans="3:7" x14ac:dyDescent="0.25">
      <c r="C381" t="s">
        <v>584</v>
      </c>
      <c r="D381" t="s">
        <v>112</v>
      </c>
      <c r="E381" s="2">
        <v>0</v>
      </c>
      <c r="F381" s="2">
        <v>0</v>
      </c>
      <c r="G381" s="2">
        <v>0</v>
      </c>
    </row>
    <row r="382" spans="3:7" x14ac:dyDescent="0.25">
      <c r="C382" t="s">
        <v>585</v>
      </c>
      <c r="D382" t="s">
        <v>114</v>
      </c>
      <c r="E382" s="2">
        <v>0</v>
      </c>
      <c r="F382" s="2">
        <v>0</v>
      </c>
      <c r="G382" s="2">
        <v>0</v>
      </c>
    </row>
    <row r="383" spans="3:7" x14ac:dyDescent="0.25">
      <c r="C383" t="s">
        <v>586</v>
      </c>
      <c r="D383" t="s">
        <v>116</v>
      </c>
      <c r="E383" s="2">
        <v>0</v>
      </c>
      <c r="F383" s="2">
        <v>0</v>
      </c>
      <c r="G383" s="2">
        <v>0</v>
      </c>
    </row>
    <row r="384" spans="3:7" x14ac:dyDescent="0.25">
      <c r="C384" t="s">
        <v>587</v>
      </c>
      <c r="D384" t="s">
        <v>118</v>
      </c>
      <c r="E384" s="2">
        <v>0</v>
      </c>
      <c r="F384" s="2">
        <v>0</v>
      </c>
      <c r="G384" s="2">
        <v>0</v>
      </c>
    </row>
    <row r="385" spans="3:7" x14ac:dyDescent="0.25">
      <c r="C385" t="s">
        <v>588</v>
      </c>
      <c r="D385" t="s">
        <v>120</v>
      </c>
      <c r="E385" s="2">
        <v>0</v>
      </c>
      <c r="F385" s="2">
        <v>0</v>
      </c>
      <c r="G385" s="2">
        <v>0</v>
      </c>
    </row>
    <row r="386" spans="3:7" x14ac:dyDescent="0.25">
      <c r="C386" t="s">
        <v>589</v>
      </c>
      <c r="D386" t="s">
        <v>122</v>
      </c>
      <c r="E386" s="2">
        <v>0</v>
      </c>
      <c r="F386" s="2">
        <v>0</v>
      </c>
      <c r="G386" s="2">
        <v>0</v>
      </c>
    </row>
    <row r="387" spans="3:7" x14ac:dyDescent="0.25">
      <c r="C387" t="s">
        <v>590</v>
      </c>
      <c r="D387" t="s">
        <v>124</v>
      </c>
      <c r="E387" s="2">
        <v>0</v>
      </c>
      <c r="F387" s="2">
        <v>0</v>
      </c>
      <c r="G387" s="2">
        <v>0</v>
      </c>
    </row>
    <row r="388" spans="3:7" x14ac:dyDescent="0.25">
      <c r="C388" t="s">
        <v>591</v>
      </c>
      <c r="D388" t="s">
        <v>166</v>
      </c>
      <c r="E388" s="2">
        <v>0</v>
      </c>
      <c r="F388" s="2">
        <v>0</v>
      </c>
      <c r="G388" s="2">
        <v>0</v>
      </c>
    </row>
    <row r="389" spans="3:7" x14ac:dyDescent="0.25">
      <c r="C389" t="s">
        <v>592</v>
      </c>
      <c r="D389" t="s">
        <v>170</v>
      </c>
      <c r="E389" s="2">
        <v>0</v>
      </c>
      <c r="F389" s="2">
        <v>0</v>
      </c>
      <c r="G389" s="2">
        <v>0</v>
      </c>
    </row>
    <row r="390" spans="3:7" x14ac:dyDescent="0.25">
      <c r="C390" t="s">
        <v>593</v>
      </c>
      <c r="D390" t="s">
        <v>223</v>
      </c>
      <c r="E390" s="2">
        <v>0</v>
      </c>
      <c r="F390" s="2">
        <v>0</v>
      </c>
      <c r="G390" s="2">
        <v>0</v>
      </c>
    </row>
    <row r="391" spans="3:7" x14ac:dyDescent="0.25">
      <c r="C391" t="s">
        <v>594</v>
      </c>
      <c r="D391" t="s">
        <v>225</v>
      </c>
      <c r="E391" s="2">
        <v>0</v>
      </c>
      <c r="F391" s="2">
        <v>0</v>
      </c>
      <c r="G391" s="2">
        <v>0</v>
      </c>
    </row>
    <row r="392" spans="3:7" x14ac:dyDescent="0.25">
      <c r="C392" t="s">
        <v>595</v>
      </c>
      <c r="D392" t="s">
        <v>227</v>
      </c>
      <c r="E392" s="2">
        <v>0</v>
      </c>
      <c r="F392" s="2">
        <v>0</v>
      </c>
      <c r="G392" s="2">
        <v>0</v>
      </c>
    </row>
    <row r="393" spans="3:7" x14ac:dyDescent="0.25">
      <c r="C393" t="s">
        <v>596</v>
      </c>
      <c r="D393" t="s">
        <v>229</v>
      </c>
      <c r="E393" s="2">
        <v>0</v>
      </c>
      <c r="F393" s="2">
        <v>0</v>
      </c>
      <c r="G393" s="2">
        <v>0</v>
      </c>
    </row>
    <row r="394" spans="3:7" x14ac:dyDescent="0.25">
      <c r="C394" t="s">
        <v>597</v>
      </c>
      <c r="D394" t="s">
        <v>231</v>
      </c>
      <c r="E394" s="2">
        <v>0</v>
      </c>
      <c r="F394" s="2">
        <v>0</v>
      </c>
      <c r="G394" s="2">
        <v>0</v>
      </c>
    </row>
    <row r="395" spans="3:7" x14ac:dyDescent="0.25">
      <c r="C395" t="s">
        <v>598</v>
      </c>
      <c r="D395" t="s">
        <v>233</v>
      </c>
      <c r="E395" s="2">
        <v>0</v>
      </c>
      <c r="F395" s="2">
        <v>0</v>
      </c>
      <c r="G395" s="2">
        <v>0</v>
      </c>
    </row>
    <row r="396" spans="3:7" x14ac:dyDescent="0.25">
      <c r="C396" t="s">
        <v>599</v>
      </c>
      <c r="D396" t="s">
        <v>235</v>
      </c>
      <c r="E396" s="2">
        <v>0</v>
      </c>
      <c r="F396" s="2">
        <v>0</v>
      </c>
      <c r="G396" s="2">
        <v>0</v>
      </c>
    </row>
    <row r="397" spans="3:7" x14ac:dyDescent="0.25">
      <c r="C397" t="s">
        <v>600</v>
      </c>
      <c r="D397" t="s">
        <v>237</v>
      </c>
      <c r="E397" s="2">
        <v>0</v>
      </c>
      <c r="F397" s="2">
        <v>0</v>
      </c>
      <c r="G397" s="2">
        <v>0</v>
      </c>
    </row>
    <row r="398" spans="3:7" x14ac:dyDescent="0.25">
      <c r="C398" t="s">
        <v>601</v>
      </c>
      <c r="D398" t="s">
        <v>239</v>
      </c>
      <c r="E398" s="2">
        <v>0</v>
      </c>
      <c r="F398" s="2">
        <v>0</v>
      </c>
      <c r="G398" s="2">
        <v>0</v>
      </c>
    </row>
    <row r="399" spans="3:7" x14ac:dyDescent="0.25">
      <c r="C399" t="s">
        <v>602</v>
      </c>
      <c r="D399" t="s">
        <v>251</v>
      </c>
      <c r="E399" s="2">
        <v>0</v>
      </c>
      <c r="F399" s="2">
        <v>0</v>
      </c>
      <c r="G399" s="2">
        <v>0</v>
      </c>
    </row>
    <row r="400" spans="3:7" x14ac:dyDescent="0.25">
      <c r="C400" t="s">
        <v>603</v>
      </c>
      <c r="D400" t="s">
        <v>253</v>
      </c>
      <c r="E400" s="2">
        <v>0</v>
      </c>
      <c r="F400" s="2">
        <v>0</v>
      </c>
      <c r="G400" s="2">
        <v>0</v>
      </c>
    </row>
    <row r="401" spans="3:7" x14ac:dyDescent="0.25">
      <c r="C401" t="s">
        <v>604</v>
      </c>
      <c r="D401" t="s">
        <v>255</v>
      </c>
      <c r="E401" s="2">
        <v>0</v>
      </c>
      <c r="F401" s="2">
        <v>0</v>
      </c>
      <c r="G401" s="2">
        <v>0</v>
      </c>
    </row>
    <row r="402" spans="3:7" x14ac:dyDescent="0.25">
      <c r="C402" t="s">
        <v>605</v>
      </c>
      <c r="D402" t="s">
        <v>257</v>
      </c>
      <c r="E402" s="2">
        <v>0</v>
      </c>
      <c r="F402" s="2">
        <v>0</v>
      </c>
      <c r="G402" s="2">
        <v>0</v>
      </c>
    </row>
    <row r="403" spans="3:7" x14ac:dyDescent="0.25">
      <c r="C403" t="s">
        <v>606</v>
      </c>
      <c r="D403" t="s">
        <v>259</v>
      </c>
      <c r="E403" s="2">
        <v>0</v>
      </c>
      <c r="F403" s="2">
        <v>0</v>
      </c>
      <c r="G403" s="2">
        <v>0</v>
      </c>
    </row>
    <row r="404" spans="3:7" x14ac:dyDescent="0.25">
      <c r="C404" t="s">
        <v>607</v>
      </c>
      <c r="D404" t="s">
        <v>261</v>
      </c>
      <c r="E404" s="2">
        <v>0</v>
      </c>
      <c r="F404" s="2">
        <v>0</v>
      </c>
      <c r="G404" s="2">
        <v>0</v>
      </c>
    </row>
    <row r="405" spans="3:7" x14ac:dyDescent="0.25">
      <c r="C405" t="s">
        <v>608</v>
      </c>
      <c r="D405" t="s">
        <v>263</v>
      </c>
      <c r="E405" s="2">
        <v>0</v>
      </c>
      <c r="F405" s="2">
        <v>0</v>
      </c>
      <c r="G405" s="2">
        <v>0</v>
      </c>
    </row>
    <row r="406" spans="3:7" x14ac:dyDescent="0.25">
      <c r="C406" t="s">
        <v>609</v>
      </c>
      <c r="D406" t="s">
        <v>265</v>
      </c>
      <c r="E406" s="2">
        <v>0</v>
      </c>
      <c r="F406" s="2">
        <v>0</v>
      </c>
      <c r="G406" s="2">
        <v>0</v>
      </c>
    </row>
    <row r="407" spans="3:7" x14ac:dyDescent="0.25">
      <c r="C407" t="s">
        <v>610</v>
      </c>
      <c r="D407" t="s">
        <v>267</v>
      </c>
      <c r="E407" s="2">
        <v>0</v>
      </c>
      <c r="F407" s="2">
        <v>0</v>
      </c>
      <c r="G407" s="2">
        <v>0</v>
      </c>
    </row>
    <row r="408" spans="3:7" x14ac:dyDescent="0.25">
      <c r="C408" t="s">
        <v>611</v>
      </c>
      <c r="D408" t="s">
        <v>269</v>
      </c>
      <c r="E408" s="2">
        <v>0</v>
      </c>
      <c r="F408" s="2">
        <v>0</v>
      </c>
      <c r="G408" s="2">
        <v>0</v>
      </c>
    </row>
  </sheetData>
  <pageMargins left="0.7" right="0.7" top="0.75" bottom="0.75" header="0.3" footer="0.3"/>
  <pageSetup scale="49" fitToHeight="99" orientation="landscape" blackAndWhite="1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Setup Instructions</vt:lpstr>
      <vt:lpstr>WIP Schedule</vt:lpstr>
      <vt:lpstr>TL Active Jobs GL Recap</vt:lpstr>
      <vt:lpstr>WIP Journal Entry</vt:lpstr>
      <vt:lpstr>TL Active Jobs ODBC</vt:lpstr>
      <vt:lpstr>TL Job Control ODBC</vt:lpstr>
      <vt:lpstr>TL GL ODBC</vt:lpstr>
      <vt:lpstr>CurrentPeriod</vt:lpstr>
      <vt:lpstr>'WIP Schedule'!Print_Area</vt:lpstr>
      <vt:lpstr>'WIP Schedule'!Print_Titles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</dc:creator>
  <cp:lastModifiedBy>Michael S</cp:lastModifiedBy>
  <cp:lastPrinted>2015-05-06T20:44:50Z</cp:lastPrinted>
  <dcterms:created xsi:type="dcterms:W3CDTF">2013-09-23T13:43:36Z</dcterms:created>
  <dcterms:modified xsi:type="dcterms:W3CDTF">2020-05-17T22:24:54Z</dcterms:modified>
</cp:coreProperties>
</file>